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810" tabRatio="802" activeTab="3"/>
  </bookViews>
  <sheets>
    <sheet name="0. Memorial de Cálculo " sheetId="16" r:id="rId1"/>
    <sheet name="1. Programação" sheetId="11" r:id="rId2"/>
    <sheet name="2. Dimensionamento" sheetId="9" r:id="rId3"/>
    <sheet name="3. Coleta Domiciliar" sheetId="2" r:id="rId4"/>
    <sheet name="2.Encargos Sociais" sheetId="8" state="hidden" r:id="rId5"/>
    <sheet name="3.CAGED" sheetId="5" state="hidden" r:id="rId6"/>
    <sheet name="4.Encargos Sociais" sheetId="13" r:id="rId7"/>
    <sheet name="5.BDI" sheetId="4" r:id="rId8"/>
    <sheet name="6.CAGED " sheetId="12" r:id="rId9"/>
    <sheet name="8.Remuneração de capital" sheetId="15" r:id="rId10"/>
    <sheet name="7. Depreciação" sheetId="6" r:id="rId11"/>
  </sheets>
  <definedNames>
    <definedName name="AbaDeprec">'7. Depreciação'!$A$1</definedName>
    <definedName name="AbaRemun" localSheetId="9">'8.Remuneração de capital'!$A$1</definedName>
    <definedName name="AbaRemun">#REF!</definedName>
    <definedName name="_xlnm.Print_Area" localSheetId="4">'2.Encargos Sociais'!$A$1:$C$39</definedName>
    <definedName name="_xlnm.Print_Area" localSheetId="3">'3. Coleta Domiciliar'!$A$1:$F$307</definedName>
    <definedName name="_xlnm.Print_Titles" localSheetId="3">'3. Coleta Domiciliar'!$1:$1</definedName>
  </definedNames>
  <calcPr calcId="144525" iterateDelta="1E-4"/>
</workbook>
</file>

<file path=xl/calcChain.xml><?xml version="1.0" encoding="utf-8"?>
<calcChain xmlns="http://schemas.openxmlformats.org/spreadsheetml/2006/main">
  <c r="D200" i="2" l="1"/>
  <c r="E30" i="16" l="1"/>
  <c r="I25" i="16"/>
  <c r="I26" i="16"/>
  <c r="I27" i="16"/>
  <c r="I28" i="16"/>
  <c r="I29" i="16"/>
  <c r="E51" i="16" s="1"/>
  <c r="G51" i="16" s="1"/>
  <c r="I24" i="16"/>
  <c r="J28" i="16" l="1"/>
  <c r="E50" i="16"/>
  <c r="I30" i="16"/>
  <c r="I34" i="16" s="1"/>
  <c r="E52" i="16" l="1"/>
  <c r="G50" i="16"/>
  <c r="G52" i="16" s="1"/>
  <c r="C29" i="13" l="1"/>
  <c r="C30" i="13" s="1"/>
  <c r="C31" i="13" s="1"/>
  <c r="C26" i="13"/>
  <c r="C19" i="13"/>
  <c r="C11" i="13"/>
  <c r="E260" i="2"/>
  <c r="E259" i="2"/>
  <c r="E258" i="2"/>
  <c r="C23" i="12"/>
  <c r="C25" i="12"/>
  <c r="C26" i="12"/>
  <c r="C27" i="12"/>
  <c r="C28" i="12"/>
  <c r="C33" i="12"/>
  <c r="E124" i="2"/>
  <c r="D122" i="2"/>
  <c r="E122" i="2" s="1"/>
  <c r="D121" i="2"/>
  <c r="E121" i="2" s="1"/>
  <c r="D120" i="2"/>
  <c r="E120" i="2" s="1"/>
  <c r="D119" i="2"/>
  <c r="E119" i="2" s="1"/>
  <c r="D118" i="2"/>
  <c r="E118" i="2" s="1"/>
  <c r="D117" i="2"/>
  <c r="E117" i="2" s="1"/>
  <c r="E112" i="2"/>
  <c r="E110" i="2"/>
  <c r="E109" i="2"/>
  <c r="E108" i="2"/>
  <c r="E107" i="2"/>
  <c r="E106" i="2"/>
  <c r="E105" i="2"/>
  <c r="E104" i="2"/>
  <c r="E103" i="2"/>
  <c r="E102" i="2"/>
  <c r="E101" i="2"/>
  <c r="C252" i="2"/>
  <c r="F261" i="2" l="1"/>
  <c r="E21" i="2" s="1"/>
  <c r="D123" i="2"/>
  <c r="E123" i="2" s="1"/>
  <c r="F124" i="2" s="1"/>
  <c r="D111" i="2"/>
  <c r="E111" i="2" s="1"/>
  <c r="F112" i="2" s="1"/>
  <c r="F126" i="2" l="1"/>
  <c r="E12" i="2" s="1"/>
  <c r="D236" i="2" l="1"/>
  <c r="D234" i="2"/>
  <c r="D232" i="2"/>
  <c r="D230" i="2"/>
  <c r="D228" i="2"/>
  <c r="C228" i="2"/>
  <c r="D237" i="2" l="1"/>
  <c r="C236" i="2"/>
  <c r="E236" i="2" s="1"/>
  <c r="C232" i="2"/>
  <c r="E232" i="2" s="1"/>
  <c r="E228" i="2"/>
  <c r="C234" i="2"/>
  <c r="E234" i="2" s="1"/>
  <c r="C230" i="2"/>
  <c r="E230" i="2" s="1"/>
  <c r="E91" i="2"/>
  <c r="E90" i="2"/>
  <c r="E89" i="2"/>
  <c r="E85" i="2"/>
  <c r="E84" i="2"/>
  <c r="E83" i="2"/>
  <c r="E79" i="2"/>
  <c r="E78" i="2"/>
  <c r="E77" i="2"/>
  <c r="E73" i="2"/>
  <c r="E72" i="2"/>
  <c r="E71" i="2"/>
  <c r="E48" i="2"/>
  <c r="F85" i="2" l="1"/>
  <c r="F79" i="2"/>
  <c r="F91" i="2"/>
  <c r="F73" i="2"/>
  <c r="C9" i="9"/>
  <c r="C10" i="9" l="1"/>
  <c r="E33" i="2" l="1"/>
  <c r="A33" i="2"/>
  <c r="C27" i="5" l="1"/>
  <c r="C16" i="4"/>
  <c r="C21" i="4" s="1"/>
  <c r="C12" i="9"/>
  <c r="C16" i="9" l="1"/>
  <c r="C23" i="5" l="1"/>
  <c r="C201" i="2" l="1"/>
  <c r="C200" i="2"/>
  <c r="C202" i="2"/>
  <c r="A22" i="2" l="1"/>
  <c r="A21" i="2"/>
  <c r="A13" i="2"/>
  <c r="A12" i="2"/>
  <c r="A8" i="2"/>
  <c r="C17" i="9" l="1"/>
  <c r="C19" i="9" s="1"/>
  <c r="C171" i="2"/>
  <c r="C176" i="2"/>
  <c r="E29" i="2" l="1"/>
  <c r="E28" i="2"/>
  <c r="C195" i="2" l="1"/>
  <c r="C190" i="2"/>
  <c r="D220" i="2"/>
  <c r="D218" i="2"/>
  <c r="D216" i="2"/>
  <c r="D214" i="2"/>
  <c r="D150" i="2" l="1"/>
  <c r="E150" i="2" s="1"/>
  <c r="E134" i="2"/>
  <c r="E135" i="2"/>
  <c r="E136" i="2"/>
  <c r="E137" i="2"/>
  <c r="E138" i="2"/>
  <c r="E139" i="2"/>
  <c r="E140" i="2"/>
  <c r="E141" i="2"/>
  <c r="E142" i="2"/>
  <c r="E133" i="2"/>
  <c r="A20" i="2" l="1"/>
  <c r="A19" i="2"/>
  <c r="A18" i="2"/>
  <c r="A17" i="2"/>
  <c r="A16" i="2"/>
  <c r="A15" i="2"/>
  <c r="A14" i="2"/>
  <c r="A11" i="2"/>
  <c r="A10" i="2"/>
  <c r="A9" i="2"/>
  <c r="C20" i="8"/>
  <c r="E285" i="2"/>
  <c r="E204" i="2"/>
  <c r="E196" i="2"/>
  <c r="E180" i="2"/>
  <c r="E158" i="2"/>
  <c r="E145" i="2"/>
  <c r="E67" i="2"/>
  <c r="E61" i="2"/>
  <c r="D184" i="2"/>
  <c r="C295" i="2"/>
  <c r="F14" i="4"/>
  <c r="E14" i="4"/>
  <c r="D14" i="4"/>
  <c r="C17" i="8"/>
  <c r="C25" i="5"/>
  <c r="E53" i="2"/>
  <c r="C250" i="2"/>
  <c r="E250" i="2" s="1"/>
  <c r="C212" i="2"/>
  <c r="D212" i="2"/>
  <c r="D221" i="2" s="1"/>
  <c r="E168" i="2"/>
  <c r="C186" i="2" s="1"/>
  <c r="D189" i="2"/>
  <c r="C177" i="2"/>
  <c r="C172" i="2"/>
  <c r="C281" i="2"/>
  <c r="C283" i="2" s="1"/>
  <c r="E283" i="2" s="1"/>
  <c r="D284" i="2" s="1"/>
  <c r="E284" i="2" s="1"/>
  <c r="C173" i="2"/>
  <c r="C189" i="2" s="1"/>
  <c r="A28" i="2"/>
  <c r="A29" i="2"/>
  <c r="E42" i="2"/>
  <c r="E143" i="2"/>
  <c r="D151" i="2"/>
  <c r="E151" i="2" s="1"/>
  <c r="D152" i="2"/>
  <c r="E152" i="2" s="1"/>
  <c r="D153" i="2"/>
  <c r="E153" i="2" s="1"/>
  <c r="D154" i="2"/>
  <c r="E154" i="2" s="1"/>
  <c r="D155" i="2"/>
  <c r="E155" i="2" s="1"/>
  <c r="E156" i="2"/>
  <c r="E248" i="2"/>
  <c r="E202" i="2"/>
  <c r="E201" i="2"/>
  <c r="E269" i="2"/>
  <c r="E272" i="2"/>
  <c r="E273" i="2"/>
  <c r="E270" i="2"/>
  <c r="E271" i="2"/>
  <c r="D56" i="2"/>
  <c r="E56" i="2" s="1"/>
  <c r="C214" i="2" l="1"/>
  <c r="E214" i="2" s="1"/>
  <c r="C243" i="2"/>
  <c r="D251" i="2"/>
  <c r="E251" i="2" s="1"/>
  <c r="D252" i="2" s="1"/>
  <c r="E252" i="2" s="1"/>
  <c r="F253" i="2" s="1"/>
  <c r="E20" i="2" s="1"/>
  <c r="C28" i="5"/>
  <c r="C26" i="5"/>
  <c r="C31" i="8" s="1"/>
  <c r="D171" i="2"/>
  <c r="E171" i="2" s="1"/>
  <c r="C187" i="2" s="1"/>
  <c r="C218" i="2"/>
  <c r="E218" i="2" s="1"/>
  <c r="C220" i="2"/>
  <c r="E220" i="2" s="1"/>
  <c r="F274" i="2"/>
  <c r="F276" i="2" s="1"/>
  <c r="E212" i="2"/>
  <c r="E173" i="2"/>
  <c r="D144" i="2"/>
  <c r="C144" i="2"/>
  <c r="E30" i="2"/>
  <c r="E65" i="2"/>
  <c r="E189" i="2"/>
  <c r="E66" i="2"/>
  <c r="E43" i="2"/>
  <c r="E44" i="2" s="1"/>
  <c r="D45" i="2" s="1"/>
  <c r="C157" i="2"/>
  <c r="C216" i="2"/>
  <c r="E216" i="2" s="1"/>
  <c r="E243" i="2"/>
  <c r="F244" i="2" s="1"/>
  <c r="E19" i="2" s="1"/>
  <c r="E281" i="2"/>
  <c r="D282" i="2" s="1"/>
  <c r="E282" i="2" s="1"/>
  <c r="F285" i="2" s="1"/>
  <c r="F287" i="2" s="1"/>
  <c r="E184" i="2"/>
  <c r="D157" i="2"/>
  <c r="E57" i="2"/>
  <c r="F239" i="2" l="1"/>
  <c r="E18" i="2" s="1"/>
  <c r="C30" i="8"/>
  <c r="C33" i="5"/>
  <c r="C27" i="8" s="1"/>
  <c r="C35" i="8" s="1"/>
  <c r="D172" i="2"/>
  <c r="E172" i="2" s="1"/>
  <c r="E200" i="2"/>
  <c r="D203" i="2" s="1"/>
  <c r="E203" i="2" s="1"/>
  <c r="F204" i="2" s="1"/>
  <c r="E17" i="2" s="1"/>
  <c r="D188" i="2"/>
  <c r="E188" i="2" s="1"/>
  <c r="C28" i="8"/>
  <c r="C19" i="8"/>
  <c r="C25" i="8" s="1"/>
  <c r="C34" i="8" s="1"/>
  <c r="F67" i="2"/>
  <c r="E11" i="2" s="1"/>
  <c r="E157" i="2"/>
  <c r="F158" i="2" s="1"/>
  <c r="E144" i="2"/>
  <c r="F145" i="2" s="1"/>
  <c r="D176" i="2"/>
  <c r="E176" i="2" s="1"/>
  <c r="D177" i="2" s="1"/>
  <c r="E177" i="2" s="1"/>
  <c r="D58" i="2"/>
  <c r="C191" i="2" l="1"/>
  <c r="C192" i="2" s="1"/>
  <c r="D193" i="2" s="1"/>
  <c r="E193" i="2" s="1"/>
  <c r="E194" i="2" s="1"/>
  <c r="D195" i="2" s="1"/>
  <c r="E195" i="2" s="1"/>
  <c r="F196" i="2" s="1"/>
  <c r="C29" i="8"/>
  <c r="C32" i="8" s="1"/>
  <c r="C36" i="8"/>
  <c r="E178" i="2"/>
  <c r="D179" i="2" s="1"/>
  <c r="E179" i="2" s="1"/>
  <c r="F160" i="2"/>
  <c r="F180" i="2" l="1"/>
  <c r="C37" i="8"/>
  <c r="C58" i="2" s="1"/>
  <c r="E16" i="2"/>
  <c r="E15" i="2" l="1"/>
  <c r="F264" i="2"/>
  <c r="E13" i="2" s="1"/>
  <c r="E14" i="2"/>
  <c r="C45" i="2"/>
  <c r="E45" i="2" s="1"/>
  <c r="E46" i="2" s="1"/>
  <c r="D47" i="2" s="1"/>
  <c r="E47" i="2" s="1"/>
  <c r="F48" i="2" s="1"/>
  <c r="E58" i="2"/>
  <c r="E59" i="2" s="1"/>
  <c r="D60" i="2" s="1"/>
  <c r="E60" i="2" s="1"/>
  <c r="F61" i="2" s="1"/>
  <c r="E10" i="2" s="1"/>
  <c r="E9" i="2" l="1"/>
  <c r="F93" i="2"/>
  <c r="F289" i="2" s="1"/>
  <c r="E8" i="2" l="1"/>
  <c r="D295" i="2"/>
  <c r="E295" i="2" s="1"/>
  <c r="F296" i="2" s="1"/>
  <c r="F298" i="2" s="1"/>
  <c r="E22" i="2" s="1"/>
  <c r="E23" i="2" l="1"/>
  <c r="F8" i="2" s="1"/>
  <c r="F301" i="2"/>
  <c r="F12" i="2" l="1"/>
  <c r="F9" i="2"/>
  <c r="F11" i="2"/>
  <c r="F13" i="2"/>
  <c r="F20" i="2"/>
  <c r="F19" i="2"/>
  <c r="F10" i="2"/>
  <c r="F14" i="2"/>
  <c r="F15" i="2"/>
  <c r="F16" i="2"/>
  <c r="F17" i="2"/>
  <c r="F21" i="2"/>
  <c r="F18" i="2"/>
  <c r="F22" i="2"/>
  <c r="F23" i="2" l="1"/>
</calcChain>
</file>

<file path=xl/comments1.xml><?xml version="1.0" encoding="utf-8"?>
<comments xmlns="http://schemas.openxmlformats.org/spreadsheetml/2006/main">
  <authors>
    <author>Omar</author>
  </authors>
  <commentList>
    <comment ref="C9" authorId="0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6" author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2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45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47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53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5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56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58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0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65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66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71" authorId="0">
      <text>
        <r>
          <rPr>
            <sz val="9"/>
            <color indexed="81"/>
            <rFont val="Tahoma"/>
            <family val="2"/>
          </rPr>
          <t>Cláusula Décima Quarta CCT 2023 SIEMACO Londrina</t>
        </r>
      </text>
    </comment>
    <comment ref="D72" authorId="0">
      <text>
        <r>
          <rPr>
            <sz val="9"/>
            <color indexed="81"/>
            <rFont val="Tahoma"/>
            <family val="2"/>
          </rPr>
          <t>Cláusula Décima Quarta CCT 2023 SIEMACO Londrina</t>
        </r>
      </text>
    </comment>
    <comment ref="D77" authorId="0">
      <text>
        <r>
          <rPr>
            <sz val="9"/>
            <color indexed="81"/>
            <rFont val="Tahoma"/>
            <family val="2"/>
          </rPr>
          <t>Cláusula Décima Sexta CCT 2023 SIEMACO Londrina</t>
        </r>
      </text>
    </comment>
    <comment ref="D78" authorId="0">
      <text>
        <r>
          <rPr>
            <sz val="9"/>
            <color indexed="81"/>
            <rFont val="Tahoma"/>
            <family val="2"/>
          </rPr>
          <t>Cláusula Décima Sexta CCT 2023 SIEMACO Londrina</t>
        </r>
      </text>
    </comment>
    <comment ref="D83" authorId="0">
      <text>
        <r>
          <rPr>
            <sz val="9"/>
            <color indexed="81"/>
            <rFont val="Tahoma"/>
            <family val="2"/>
          </rPr>
          <t>Cláusula Décima Sétima CCT 2023 SIEMACO Londrina</t>
        </r>
      </text>
    </comment>
    <comment ref="D84" authorId="0">
      <text>
        <r>
          <rPr>
            <sz val="9"/>
            <color indexed="81"/>
            <rFont val="Tahoma"/>
            <family val="2"/>
          </rPr>
          <t>Cláusula Décima Sétima CCT 2023 SIEMACO Londrina</t>
        </r>
      </text>
    </comment>
    <comment ref="D89" authorId="0">
      <text>
        <r>
          <rPr>
            <sz val="9"/>
            <color indexed="81"/>
            <rFont val="Tahoma"/>
            <family val="2"/>
          </rPr>
          <t>Cláusula Vigésima Terceira CCT 2023 SIEMACO Londrina</t>
        </r>
      </text>
    </comment>
    <comment ref="D90" authorId="0">
      <text>
        <r>
          <rPr>
            <sz val="9"/>
            <color indexed="81"/>
            <rFont val="Tahoma"/>
            <family val="2"/>
          </rPr>
          <t>Cláusula Vigésima Terceira CCT 2023 SIEMACO Londrina</t>
        </r>
      </text>
    </comment>
    <comment ref="C13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3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4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5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6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7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8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9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0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1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2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43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5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6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68" authorId="0">
      <text>
        <r>
          <rPr>
            <sz val="9"/>
            <color indexed="81"/>
            <rFont val="Tahoma"/>
            <family val="2"/>
          </rPr>
          <t xml:space="preserve">Informar o preço unitário do chassis do caminhão de coleta. Verificar tabela FIPE
</t>
        </r>
      </text>
    </comment>
    <comment ref="C170" authorId="0">
      <text>
        <r>
          <rPr>
            <sz val="9"/>
            <color indexed="81"/>
            <rFont val="Tahoma"/>
            <family val="2"/>
          </rPr>
          <t>Informar a idade do veículo proposto.</t>
        </r>
      </text>
    </comment>
    <comment ref="D173" author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75" authorId="0">
      <text>
        <r>
          <rPr>
            <sz val="9"/>
            <color indexed="81"/>
            <rFont val="Tahoma"/>
            <family val="2"/>
          </rPr>
          <t>Informar a idade do compactador proposto.</t>
        </r>
      </text>
    </comment>
    <comment ref="C179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85" authorId="0">
      <text>
        <r>
          <rPr>
            <b/>
            <sz val="9"/>
            <color indexed="81"/>
            <rFont val="Tahoma"/>
            <family val="2"/>
          </rPr>
          <t xml:space="preserve">
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1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02" authorId="0">
      <text>
        <r>
          <rPr>
            <sz val="9"/>
            <color indexed="81"/>
            <rFont val="Tahoma"/>
            <family val="2"/>
          </rPr>
          <t>Informar o valor do seguro contra terceiros de um caminhão. Deverá apresentar apólice no momento da contratação.</t>
        </r>
      </text>
    </comment>
    <comment ref="D211" authorId="0">
      <text>
        <r>
          <rPr>
            <sz val="9"/>
            <color indexed="81"/>
            <rFont val="Tahoma"/>
            <family val="2"/>
          </rPr>
          <t>Tabela ANP
Tabela ANP</t>
        </r>
      </text>
    </comment>
    <comment ref="D227" authorId="0">
      <text>
        <r>
          <rPr>
            <sz val="9"/>
            <color indexed="81"/>
            <rFont val="Tahoma"/>
            <family val="2"/>
          </rPr>
          <t xml:space="preserve">Tabela ANP
</t>
        </r>
      </text>
    </comment>
    <comment ref="D243" authorId="0">
      <text>
        <r>
          <rPr>
            <sz val="9"/>
            <color indexed="81"/>
            <rFont val="Tahoma"/>
            <family val="2"/>
          </rPr>
          <t xml:space="preserve"> TCE/RS 2016    
 SUGESTÃO: SELUR/FGV 60% MANUTENÇÃO EM 60 MESES    
</t>
        </r>
      </text>
    </comment>
    <comment ref="C251" authorId="0">
      <text>
        <r>
          <rPr>
            <sz val="9"/>
            <color indexed="81"/>
            <rFont val="Tahoma"/>
            <family val="2"/>
          </rPr>
          <t xml:space="preserve">Estudo da FGV
</t>
        </r>
      </text>
    </comment>
    <comment ref="C258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8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9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9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0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0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9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9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70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70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71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71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72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72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73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73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78" author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1" author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83" author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95" authorId="0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sharedStrings.xml><?xml version="1.0" encoding="utf-8"?>
<sst xmlns="http://schemas.openxmlformats.org/spreadsheetml/2006/main" count="812" uniqueCount="379">
  <si>
    <t>Adicional de Insalubridade</t>
  </si>
  <si>
    <t>%</t>
  </si>
  <si>
    <t>Soma</t>
  </si>
  <si>
    <t>Encargos Sociais</t>
  </si>
  <si>
    <t>Total do Efetivo</t>
  </si>
  <si>
    <t>homem</t>
  </si>
  <si>
    <t>mês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</si>
  <si>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</si>
  <si>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</si>
  <si>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</si>
  <si>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</si>
  <si>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</si>
  <si>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</si>
  <si>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</si>
  <si>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</si>
  <si>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</si>
  <si>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</si>
  <si>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</si>
  <si>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</si>
  <si>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</si>
  <si>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</si>
  <si>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</si>
  <si>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</si>
  <si>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</si>
  <si>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</si>
  <si>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</si>
  <si>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</si>
  <si>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</si>
  <si>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</si>
  <si>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</si>
  <si>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R$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</si>
  <si>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</si>
  <si>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</si>
  <si>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</si>
  <si>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</si>
  <si>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</si>
  <si>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</si>
  <si>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</si>
  <si>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</si>
  <si>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</si>
  <si>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</si>
  <si>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</si>
  <si>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</si>
  <si>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</si>
  <si>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</si>
  <si>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</si>
  <si>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</si>
  <si>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</si>
  <si>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</si>
  <si>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</si>
  <si>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</si>
  <si>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</si>
  <si>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</si>
  <si>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</si>
  <si>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</si>
  <si>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</si>
  <si>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</si>
  <si>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</si>
  <si>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</si>
  <si>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</si>
  <si>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</si>
  <si>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</si>
  <si>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</si>
  <si>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</si>
  <si>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</si>
  <si>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</si>
  <si>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</si>
  <si>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</si>
  <si>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</si>
  <si>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</si>
  <si>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</si>
  <si>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</si>
  <si>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</si>
  <si>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</si>
  <si>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</si>
  <si>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</si>
  <si>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</si>
  <si>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</si>
  <si>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</si>
  <si>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</si>
  <si>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</si>
  <si>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</si>
  <si>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</si>
  <si>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</si>
  <si>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</si>
  <si>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</si>
  <si>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dia</t>
  </si>
  <si>
    <t>Custo Mensal com Mão-de-obra (R$/mês)</t>
  </si>
  <si>
    <t>Meia de algodão com cano alto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</si>
  <si>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</si>
  <si>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</si>
  <si>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</si>
  <si>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</si>
  <si>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</si>
  <si>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</si>
  <si>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</si>
  <si>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</si>
  <si>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</si>
  <si>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</si>
  <si>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Custo do chassis</t>
  </si>
  <si>
    <t>Custo do compactador</t>
  </si>
  <si>
    <t>3.1.2. Remuneração do Capital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</si>
  <si>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</si>
  <si>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</si>
  <si>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</si>
  <si>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</si>
  <si>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</si>
  <si>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R$/km rodado</t>
  </si>
  <si>
    <t>Número de recapagens por pneu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</si>
  <si>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</si>
  <si>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</si>
  <si>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</si>
  <si>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</si>
  <si>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</si>
  <si>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</si>
  <si>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</si>
  <si>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</si>
  <si>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</si>
  <si>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</si>
  <si>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</si>
  <si>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</si>
  <si>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</si>
  <si>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</si>
  <si>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</si>
  <si>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</si>
  <si>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</si>
  <si>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</si>
  <si>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</si>
  <si>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</si>
  <si>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</si>
  <si>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</si>
  <si>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</si>
  <si>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</si>
  <si>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</si>
  <si>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</si>
  <si>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</si>
  <si>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</si>
  <si>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</si>
  <si>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</si>
  <si>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</si>
  <si>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</si>
  <si>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</si>
  <si>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</si>
  <si>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</si>
  <si>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</si>
  <si>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</si>
  <si>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</si>
  <si>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</si>
  <si>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</si>
  <si>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</si>
  <si>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</si>
  <si>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</si>
  <si>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</si>
  <si>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</si>
  <si>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</si>
  <si>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</si>
  <si>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</si>
  <si>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</si>
  <si>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</si>
  <si>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</si>
  <si>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</si>
  <si>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</si>
  <si>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</si>
  <si>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</si>
  <si>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</si>
  <si>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</si>
  <si>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</si>
  <si>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</si>
  <si>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</si>
  <si>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</si>
  <si>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</si>
  <si>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</si>
  <si>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</si>
  <si>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</si>
  <si>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</si>
  <si>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</si>
  <si>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</si>
  <si>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</si>
  <si>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</si>
  <si>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</si>
  <si>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</si>
  <si>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</si>
  <si>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</si>
  <si>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</si>
  <si>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</si>
  <si>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</si>
  <si>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</si>
  <si>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</si>
  <si>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</si>
  <si>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</si>
  <si>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</si>
  <si>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</si>
  <si>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</si>
  <si>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</si>
  <si>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</si>
  <si>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</si>
  <si>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</si>
  <si>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C2</t>
  </si>
  <si>
    <t>B3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</si>
  <si>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</si>
  <si>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</si>
  <si>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</si>
  <si>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</si>
  <si>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</si>
  <si>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</si>
  <si>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</si>
  <si>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</si>
  <si>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</si>
  <si>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</si>
  <si>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</si>
  <si>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</si>
  <si>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</si>
  <si>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</si>
  <si>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</si>
  <si>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</si>
  <si>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</si>
  <si>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</si>
  <si>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</si>
  <si>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</si>
  <si>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</si>
  <si>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</si>
  <si>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</si>
  <si>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</si>
  <si>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</si>
  <si>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Total por Motorista</t>
  </si>
  <si>
    <t>Durabilidade (meses)</t>
  </si>
  <si>
    <t>Custo com consumos/km rodado</t>
  </si>
  <si>
    <t>Consumo</t>
  </si>
  <si>
    <t>Total por veículo</t>
  </si>
  <si>
    <t>Total da frota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</si>
  <si>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</si>
  <si>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</si>
  <si>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</si>
  <si>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</si>
  <si>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</si>
  <si>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</si>
  <si>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</si>
  <si>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</si>
  <si>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</si>
  <si>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</si>
  <si>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</si>
  <si>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</si>
  <si>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</si>
  <si>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</si>
  <si>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</si>
  <si>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</si>
  <si>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</si>
  <si>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</si>
  <si>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</si>
  <si>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Indicador</t>
  </si>
  <si>
    <t>Número total de percursos de coleta por veículo, por dia (Np)</t>
  </si>
  <si>
    <t>i</t>
  </si>
  <si>
    <t>Depreciação Média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</si>
  <si>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</si>
  <si>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</si>
  <si>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</si>
  <si>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</si>
  <si>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</si>
  <si>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</si>
  <si>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</si>
  <si>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</si>
  <si>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Variação Emprego Absoluta de 01-01-2019 a 31-12-2019</t>
  </si>
  <si>
    <t>Estoque recuperado início do Período 01-01-2019</t>
  </si>
  <si>
    <t>Estoque recuperado final do Período 31-12-2019</t>
  </si>
  <si>
    <t>Preencha as células em amarelo</t>
  </si>
  <si>
    <t>Tendo em vista que o CAGED foi descontinuado em janeiro de 2020, esta planilha foi atualizada até 31/12/2019.</t>
  </si>
  <si>
    <t>Ajustado, de acordo com a nova Lei Federal nº 13.932/2019</t>
  </si>
  <si>
    <t>O TCE/PR não se responsabiliza pelo uso incorreto desta planilha.</t>
  </si>
  <si>
    <t>PARANÁ - Coleta de Resíduos Não-Perigosos - CNAE 38114</t>
  </si>
  <si>
    <t>PLANILHA MODELO TCE/RS</t>
  </si>
  <si>
    <t>SEG</t>
  </si>
  <si>
    <t>TER</t>
  </si>
  <si>
    <t>QUAR</t>
  </si>
  <si>
    <t>QUINT</t>
  </si>
  <si>
    <t>SEXT</t>
  </si>
  <si>
    <t>MAT</t>
  </si>
  <si>
    <t>X</t>
  </si>
  <si>
    <t>CAMINHÃO</t>
  </si>
  <si>
    <t>SETORES DE COLETA</t>
  </si>
  <si>
    <t>PERÍODO</t>
  </si>
  <si>
    <t>Custo do jogo de pneus 1000 x 20</t>
  </si>
  <si>
    <t>2. Dimensionamento da frota</t>
  </si>
  <si>
    <t xml:space="preserve">3. Coleta de Resíduos Sólidos </t>
  </si>
  <si>
    <t>AREA CENTRAL</t>
  </si>
  <si>
    <t>BAIRROS URBANOS</t>
  </si>
  <si>
    <t>AV. 14 DE DEZEMBRO</t>
  </si>
  <si>
    <t>BAIRRO DOS MESSIAS</t>
  </si>
  <si>
    <t>VILA RURAL</t>
  </si>
  <si>
    <t>CEMITÉRIO</t>
  </si>
  <si>
    <t xml:space="preserve">COCAMAR  </t>
  </si>
  <si>
    <t>BELAGRICOLA</t>
  </si>
  <si>
    <t>ATERRO SANITARIO</t>
  </si>
  <si>
    <t>1.1. Coletor</t>
  </si>
  <si>
    <t xml:space="preserve">1.2. Motorista </t>
  </si>
  <si>
    <t>1.3. Auxílio Alimentação (mensal)</t>
  </si>
  <si>
    <t>1.4. Desjejum (mensal)</t>
  </si>
  <si>
    <t>1.5. Auxílio Saúde (mensal)</t>
  </si>
  <si>
    <t>1.6. Benefício Social Familiar (mensal)</t>
  </si>
  <si>
    <t>1.7. Fundo de Formação Profissional (mensal)</t>
  </si>
  <si>
    <r>
      <t>3.1. Veículo Coletor Compactador</t>
    </r>
    <r>
      <rPr>
        <sz val="10"/>
        <color indexed="10"/>
        <rFont val="Arial"/>
        <family val="2"/>
      </rPr>
      <t xml:space="preserve"> 10</t>
    </r>
    <r>
      <rPr>
        <sz val="10"/>
        <rFont val="Arial"/>
        <family val="2"/>
      </rPr>
      <t xml:space="preserve"> m³</t>
    </r>
  </si>
  <si>
    <t>Quilometragem mensal aterro</t>
  </si>
  <si>
    <t>observar especificação dos manuais dos fabricantes</t>
  </si>
  <si>
    <t>2.2. Uniformes e EPIs para motorista</t>
  </si>
  <si>
    <t xml:space="preserve">4. Composição dos Encargos Sociais </t>
  </si>
  <si>
    <t>5. Benefícios e Despesas Indiretas - BDI</t>
  </si>
  <si>
    <t>6. Remuneração de Capital</t>
  </si>
  <si>
    <t>Fórmula de cálculo da remuneração de capital: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</si>
  <si>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</si>
  <si>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t>i = taxa de juros do mercado (sugere-se adotar a taxa SELIC)</t>
  </si>
  <si>
    <t>Im = investimento médio</t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</si>
  <si>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</si>
  <si>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</si>
  <si>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n = vida útil do bem em anos</t>
  </si>
  <si>
    <t xml:space="preserve">MEMORIAL DE CÁLCULO DO CUSTO DA COLETA DE LIXO  </t>
  </si>
  <si>
    <t xml:space="preserve">O memorial tem o objetivo de fundamentar a Planilha de Composição de Custos </t>
  </si>
  <si>
    <t>para a prestação de serviços de coleta, transporte e classificação dos RSU</t>
  </si>
  <si>
    <t xml:space="preserve">Método Utilizado: Método de Custo por Absorção ou Custeio Integral onde todos os custos </t>
  </si>
  <si>
    <t>são direcionados à atividade proporcionalmente ao esforço exigido para a atividade, a fim de</t>
  </si>
  <si>
    <t>que todos os custos esteja devidamente apropriados.</t>
  </si>
  <si>
    <t xml:space="preserve">As rotas de coleta foram elaboradas com a </t>
  </si>
  <si>
    <t xml:space="preserve"> utilização do GPS (Global Positioning System), que criou por meio do método de mode-</t>
  </si>
  <si>
    <t>lagem, os roteiros onde será realizada a coleta de RSU</t>
  </si>
  <si>
    <t>Para calcular o número de quilômetros rodados por mês utilizamos as seguintes tabelas:</t>
  </si>
  <si>
    <t xml:space="preserve">Deslocamentos intermitentes </t>
  </si>
  <si>
    <t>Roteiro</t>
  </si>
  <si>
    <t>N. Coletas</t>
  </si>
  <si>
    <t>Fator Semanas</t>
  </si>
  <si>
    <t>Km Rod.</t>
  </si>
  <si>
    <t>Total Km/mês</t>
  </si>
  <si>
    <t xml:space="preserve">Total Deslocamentos </t>
  </si>
  <si>
    <t>N. Viagens Mensais</t>
  </si>
  <si>
    <t>Distância</t>
  </si>
  <si>
    <t>Total Km</t>
  </si>
  <si>
    <t>Total Km Rodados/Mês</t>
  </si>
  <si>
    <t xml:space="preserve">Obs.: Todos os dados são mensais. </t>
  </si>
  <si>
    <t>O estudo se baseou na utilização de caminhão com capacidade média de oito (8)</t>
  </si>
  <si>
    <t>Toneladas, cujo consumo médio de óleo diesel é de 4,1 km por litro em deslocamento</t>
  </si>
  <si>
    <t xml:space="preserve">contínuo em pista de asfalto e em deslocamento contínuo em pista de saibro ou chão </t>
  </si>
  <si>
    <t xml:space="preserve">batido. Já para os deslomentos intermitentes para a coleta o consumo médio estimado </t>
  </si>
  <si>
    <t>é de 2,2 km por litro.</t>
  </si>
  <si>
    <t>Considerando os dados coletados pela Secretaria Municipal de Obras, elaborou-se o se-</t>
  </si>
  <si>
    <t>guinte quadro para calcular o consumo óleo diesel.</t>
  </si>
  <si>
    <t>Km/litros</t>
  </si>
  <si>
    <t>Total litros</t>
  </si>
  <si>
    <t>Quilometros de Coleta Intermitente</t>
  </si>
  <si>
    <t>Quilometros de Coleta Contínua</t>
  </si>
  <si>
    <t>Total</t>
  </si>
  <si>
    <t>Para o cálculo do consumo de pneus considerou-se uma durabilidade média de 23.000 km</t>
  </si>
  <si>
    <t>Para este estudo foi considerado que um ano possui 52  semanas e 1 dia, sendo assim</t>
  </si>
  <si>
    <t xml:space="preserve">teremos 4,33 semanas por mês. </t>
  </si>
  <si>
    <t xml:space="preserve">Para o cálculo da provisão para ações trabalhista, este estudo já considerou a chamada </t>
  </si>
  <si>
    <t xml:space="preserve">Reforma Trabalhista introduzida no nosso ordenamento jurídico pela Lei 13.467/2017, </t>
  </si>
  <si>
    <t>levou em conta também o aviso prévio proporcional e a multa rescisória sobre o FGTS.</t>
  </si>
  <si>
    <t xml:space="preserve">Para o cálculo dos custos e provisões da folha de pagamento foi utlizada a planilha do </t>
  </si>
  <si>
    <t xml:space="preserve">Livro Construíndo Planos de Negócios dos Professores Cesar Simões Salim, Neslon </t>
  </si>
  <si>
    <t>Hochman, Andrea Cecilia Rama e Silvia Ana Ramal, Editora Elsevier, RJ.</t>
  </si>
  <si>
    <t xml:space="preserve">Para os cálculos das Contribuoções Sociais teve-se como parámetro também o Anexo </t>
  </si>
  <si>
    <t>VII-D, da IN  05/2017, de 05 de maio de 2017, do Ministério de Planejamento, Desenvol-</t>
  </si>
  <si>
    <r>
      <t xml:space="preserve">vimento e Gestão disponível em: </t>
    </r>
    <r>
      <rPr>
        <sz val="10"/>
        <rFont val="Arial"/>
        <family val="2"/>
      </rPr>
      <t>https://www.comprasgovernamentais.gov.br/index.php/anexo-in5-2017</t>
    </r>
  </si>
  <si>
    <t>Considerou-se para os cálculos dos encargos sociais empresa enquadra no regime tributário</t>
  </si>
  <si>
    <t>do Lucro Real ou Presumido.</t>
  </si>
  <si>
    <t>Para o cálculo das Provisões Para Rescisões têm-se como referência a Planilha de Custos</t>
  </si>
  <si>
    <t>disponível em https://www.licitacao.online/planilha/modulo44, elaborada pela Bolsa Brasilei-</t>
  </si>
  <si>
    <t>ra de Mercadorias.</t>
  </si>
  <si>
    <t>Quilometragem mensal Cidade/Rural</t>
  </si>
  <si>
    <t>O roteiro principal chamado de "cidade/rural" totalizou 657,9 km, no qual a coleta será</t>
  </si>
  <si>
    <t xml:space="preserve">realizada 05 (cinco) vezes por semana. O roteiro chamado "aterro", </t>
  </si>
  <si>
    <t>Perímetro cidade/rural segunda</t>
  </si>
  <si>
    <t>Perímetro cidade/rural terça</t>
  </si>
  <si>
    <t>Perímetro cidade/rural quarta</t>
  </si>
  <si>
    <t>Perímetro cidade/rural quinta</t>
  </si>
  <si>
    <t>Perímetro cidade/rural sexta</t>
  </si>
  <si>
    <t>Perímetro Aterro</t>
  </si>
  <si>
    <t>1. Preencher somente células em amarelo</t>
  </si>
  <si>
    <t>O deslocamento do Município até destino final do lixo, na cidade de Assaí</t>
  </si>
  <si>
    <t xml:space="preserve">que conforme levantamento totaliza 51km </t>
  </si>
  <si>
    <t xml:space="preserve">rodados e o valor orçado pelo município. </t>
  </si>
  <si>
    <t>O preço  médio do óleo diesel na tabela da ANP no município de Cornélio Procópio é de  R$ 5,89 o litro.</t>
  </si>
  <si>
    <t xml:space="preserve">totalizou 2.244km e será realizado 05 (cinco) vezes por semana.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</si>
</sst>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_-;\-* #,##0.00_-;_-* &quot;-&quot;?_-;_-@_-"/>
    <numFmt numFmtId="171" formatCode="_-* #,##0_-;\-* #,##0_-;_-* &quot;-&quot;?_-;_-@_-"/>
    <numFmt numFmtId="172" formatCode="_-* #,##0.0000_-;\-* #,##0.0000_-;_-* &quot;-&quot;??_-;_-@_-"/>
    <numFmt numFmtId="173" formatCode="#,##0.0"/>
    <numFmt numFmtId="174" formatCode="_(* #,##0.0_);_(* \(#,##0.0\);_(* &quot;-&quot;??_);_(@_)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68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4" xfId="3" applyFont="1" applyFill="1" applyBorder="1" applyAlignment="1">
      <alignment horizontal="center" vertical="center"/>
    </xf>
    <xf numFmtId="165" fontId="3" fillId="2" borderId="4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5" fontId="6" fillId="0" borderId="0" xfId="3" applyFont="1"/>
    <xf numFmtId="165" fontId="4" fillId="0" borderId="0" xfId="3" applyFont="1" applyAlignment="1">
      <alignment vertical="center"/>
    </xf>
    <xf numFmtId="165" fontId="0" fillId="0" borderId="9" xfId="3" applyFont="1" applyBorder="1" applyAlignment="1">
      <alignment vertical="center"/>
    </xf>
    <xf numFmtId="165" fontId="3" fillId="0" borderId="10" xfId="3" applyFont="1" applyBorder="1" applyAlignment="1">
      <alignment horizontal="center" vertical="center"/>
    </xf>
    <xf numFmtId="165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horizontal="centerContinuous" vertical="center"/>
    </xf>
    <xf numFmtId="165" fontId="0" fillId="0" borderId="8" xfId="3" applyFont="1" applyBorder="1" applyAlignment="1">
      <alignment vertical="center"/>
    </xf>
    <xf numFmtId="165" fontId="3" fillId="0" borderId="11" xfId="3" applyFont="1" applyBorder="1" applyAlignment="1">
      <alignment horizontal="right" vertical="center"/>
    </xf>
    <xf numFmtId="165" fontId="0" fillId="0" borderId="12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3" applyFont="1" applyBorder="1" applyAlignment="1">
      <alignment vertical="center"/>
    </xf>
    <xf numFmtId="10" fontId="0" fillId="0" borderId="13" xfId="2" applyNumberFormat="1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65" fontId="13" fillId="2" borderId="15" xfId="3" applyFont="1" applyFill="1" applyBorder="1" applyAlignment="1">
      <alignment horizontal="center" vertical="center"/>
    </xf>
    <xf numFmtId="165" fontId="13" fillId="2" borderId="16" xfId="3" applyFont="1" applyFill="1" applyBorder="1" applyAlignment="1">
      <alignment horizontal="center" vertical="center"/>
    </xf>
    <xf numFmtId="165" fontId="3" fillId="0" borderId="17" xfId="3" applyFont="1" applyBorder="1" applyAlignment="1">
      <alignment horizontal="center" vertical="center"/>
    </xf>
    <xf numFmtId="165" fontId="1" fillId="0" borderId="12" xfId="3" applyFont="1" applyBorder="1" applyAlignment="1">
      <alignment horizontal="left" vertical="center"/>
    </xf>
    <xf numFmtId="165" fontId="6" fillId="0" borderId="8" xfId="3" applyFont="1" applyBorder="1" applyAlignment="1">
      <alignment vertical="center"/>
    </xf>
    <xf numFmtId="165" fontId="6" fillId="0" borderId="12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8" xfId="3" applyNumberFormat="1" applyFont="1" applyBorder="1" applyAlignment="1">
      <alignment horizontal="center" vertical="center"/>
    </xf>
    <xf numFmtId="165" fontId="3" fillId="0" borderId="26" xfId="3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165" fontId="6" fillId="0" borderId="17" xfId="3" applyFont="1" applyBorder="1" applyAlignment="1">
      <alignment vertical="center"/>
    </xf>
    <xf numFmtId="165" fontId="6" fillId="0" borderId="9" xfId="3" applyFont="1" applyBorder="1" applyAlignment="1">
      <alignment vertical="center"/>
    </xf>
    <xf numFmtId="0" fontId="0" fillId="0" borderId="9" xfId="0" applyBorder="1" applyAlignment="1">
      <alignment vertical="center"/>
    </xf>
    <xf numFmtId="1" fontId="6" fillId="0" borderId="10" xfId="3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vertical="center"/>
    </xf>
    <xf numFmtId="1" fontId="3" fillId="0" borderId="29" xfId="3" applyNumberFormat="1" applyFont="1" applyBorder="1" applyAlignment="1">
      <alignment horizontal="center" vertical="center"/>
    </xf>
    <xf numFmtId="165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3" fillId="2" borderId="4" xfId="3" applyNumberFormat="1" applyFont="1" applyFill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66" fontId="6" fillId="0" borderId="1" xfId="3" applyNumberFormat="1" applyFont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165" fontId="13" fillId="2" borderId="31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164" fontId="3" fillId="0" borderId="32" xfId="0" applyNumberFormat="1" applyFont="1" applyBorder="1" applyAlignment="1">
      <alignment vertical="center"/>
    </xf>
    <xf numFmtId="165" fontId="3" fillId="0" borderId="33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3" xfId="3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7" xfId="3" applyFont="1" applyFill="1" applyBorder="1" applyAlignment="1">
      <alignment horizontal="center" vertical="center"/>
    </xf>
    <xf numFmtId="165" fontId="3" fillId="0" borderId="12" xfId="3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165" fontId="3" fillId="0" borderId="8" xfId="3" applyFont="1" applyBorder="1" applyAlignment="1">
      <alignment vertical="center"/>
    </xf>
    <xf numFmtId="10" fontId="3" fillId="0" borderId="13" xfId="2" applyNumberFormat="1" applyFont="1" applyBorder="1" applyAlignment="1">
      <alignment vertical="center"/>
    </xf>
    <xf numFmtId="165" fontId="3" fillId="0" borderId="36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5" fontId="6" fillId="0" borderId="37" xfId="3" applyFont="1" applyBorder="1" applyAlignment="1">
      <alignment vertical="center"/>
    </xf>
    <xf numFmtId="165" fontId="6" fillId="0" borderId="38" xfId="3" applyFont="1" applyBorder="1" applyAlignment="1">
      <alignment vertical="center"/>
    </xf>
    <xf numFmtId="165" fontId="6" fillId="0" borderId="39" xfId="3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1" fontId="6" fillId="0" borderId="35" xfId="3" applyNumberFormat="1" applyFont="1" applyBorder="1" applyAlignment="1">
      <alignment horizontal="center" vertical="center"/>
    </xf>
    <xf numFmtId="165" fontId="3" fillId="0" borderId="12" xfId="3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5" fontId="6" fillId="6" borderId="1" xfId="3" applyFont="1" applyFill="1" applyBorder="1" applyAlignment="1">
      <alignment horizontal="center" vertical="center"/>
    </xf>
    <xf numFmtId="9" fontId="3" fillId="0" borderId="16" xfId="2" applyFont="1" applyBorder="1" applyAlignment="1">
      <alignment vertical="center"/>
    </xf>
    <xf numFmtId="10" fontId="6" fillId="0" borderId="13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6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7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6" fontId="3" fillId="0" borderId="0" xfId="3" applyNumberFormat="1" applyFont="1" applyBorder="1" applyAlignment="1">
      <alignment horizontal="center" vertical="center"/>
    </xf>
    <xf numFmtId="0" fontId="18" fillId="0" borderId="12" xfId="0" applyFont="1" applyBorder="1"/>
    <xf numFmtId="0" fontId="6" fillId="0" borderId="0" xfId="0" applyFont="1" applyBorder="1"/>
    <xf numFmtId="0" fontId="18" fillId="0" borderId="45" xfId="0" applyFont="1" applyBorder="1"/>
    <xf numFmtId="0" fontId="18" fillId="3" borderId="18" xfId="0" applyFont="1" applyFill="1" applyBorder="1"/>
    <xf numFmtId="0" fontId="18" fillId="0" borderId="21" xfId="0" applyFont="1" applyBorder="1"/>
    <xf numFmtId="0" fontId="18" fillId="0" borderId="46" xfId="0" applyFont="1" applyBorder="1"/>
    <xf numFmtId="0" fontId="18" fillId="0" borderId="18" xfId="0" applyFont="1" applyBorder="1"/>
    <xf numFmtId="0" fontId="18" fillId="0" borderId="26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" fontId="19" fillId="7" borderId="34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18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10" fontId="20" fillId="0" borderId="18" xfId="0" applyNumberFormat="1" applyFont="1" applyBorder="1" applyAlignment="1">
      <alignment horizontal="right" vertical="center"/>
    </xf>
    <xf numFmtId="0" fontId="19" fillId="5" borderId="2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/>
    </xf>
    <xf numFmtId="10" fontId="20" fillId="5" borderId="18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9" fillId="9" borderId="22" xfId="0" applyFont="1" applyFill="1" applyBorder="1" applyAlignment="1">
      <alignment horizontal="left" vertical="center"/>
    </xf>
    <xf numFmtId="0" fontId="20" fillId="9" borderId="34" xfId="0" applyFont="1" applyFill="1" applyBorder="1" applyAlignment="1">
      <alignment horizontal="left" vertical="center"/>
    </xf>
    <xf numFmtId="10" fontId="20" fillId="9" borderId="35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10" fontId="20" fillId="0" borderId="0" xfId="0" applyNumberFormat="1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4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3" xfId="0" applyFont="1" applyBorder="1"/>
    <xf numFmtId="0" fontId="5" fillId="0" borderId="21" xfId="0" applyFont="1" applyBorder="1"/>
    <xf numFmtId="0" fontId="5" fillId="3" borderId="18" xfId="0" applyFont="1" applyFill="1" applyBorder="1"/>
    <xf numFmtId="0" fontId="5" fillId="0" borderId="45" xfId="0" applyFont="1" applyBorder="1"/>
    <xf numFmtId="0" fontId="5" fillId="3" borderId="46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7" fillId="0" borderId="46" xfId="0" applyFont="1" applyBorder="1"/>
    <xf numFmtId="0" fontId="7" fillId="0" borderId="36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1" xfId="2" applyFont="1" applyBorder="1"/>
    <xf numFmtId="9" fontId="5" fillId="0" borderId="1" xfId="2" applyFont="1" applyBorder="1" applyAlignment="1">
      <alignment horizontal="center"/>
    </xf>
    <xf numFmtId="9" fontId="5" fillId="0" borderId="18" xfId="2" applyFont="1" applyBorder="1"/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10" fontId="5" fillId="3" borderId="10" xfId="0" applyNumberFormat="1" applyFont="1" applyFill="1" applyBorder="1" applyAlignment="1">
      <alignment horizontal="center" vertical="center"/>
    </xf>
    <xf numFmtId="10" fontId="5" fillId="0" borderId="18" xfId="2" applyNumberFormat="1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0" borderId="18" xfId="0" applyFont="1" applyBorder="1"/>
    <xf numFmtId="0" fontId="5" fillId="0" borderId="22" xfId="0" applyFont="1" applyFill="1" applyBorder="1" applyAlignment="1">
      <alignment horizontal="left" vertical="center"/>
    </xf>
    <xf numFmtId="10" fontId="5" fillId="3" borderId="3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1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18" xfId="2" applyNumberFormat="1" applyFont="1" applyBorder="1" applyAlignment="1">
      <alignment horizontal="right"/>
    </xf>
    <xf numFmtId="10" fontId="5" fillId="0" borderId="22" xfId="2" applyNumberFormat="1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1" fontId="6" fillId="0" borderId="0" xfId="3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3" fillId="0" borderId="34" xfId="0" applyNumberFormat="1" applyFont="1" applyBorder="1" applyAlignment="1">
      <alignment vertical="center"/>
    </xf>
    <xf numFmtId="165" fontId="3" fillId="0" borderId="9" xfId="3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8" xfId="3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49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165" fontId="3" fillId="0" borderId="49" xfId="3" applyFont="1" applyBorder="1" applyAlignment="1">
      <alignment horizontal="center" vertical="center"/>
    </xf>
    <xf numFmtId="165" fontId="3" fillId="0" borderId="49" xfId="3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21" xfId="0" applyFont="1" applyBorder="1"/>
    <xf numFmtId="0" fontId="7" fillId="0" borderId="1" xfId="0" applyFont="1" applyBorder="1"/>
    <xf numFmtId="0" fontId="7" fillId="0" borderId="18" xfId="0" applyFont="1" applyBorder="1"/>
    <xf numFmtId="0" fontId="5" fillId="0" borderId="2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0" fontId="5" fillId="0" borderId="18" xfId="0" applyNumberFormat="1" applyFont="1" applyBorder="1"/>
    <xf numFmtId="2" fontId="5" fillId="0" borderId="18" xfId="0" applyNumberFormat="1" applyFont="1" applyBorder="1"/>
    <xf numFmtId="0" fontId="5" fillId="0" borderId="22" xfId="0" applyFont="1" applyFill="1" applyBorder="1"/>
    <xf numFmtId="0" fontId="5" fillId="0" borderId="34" xfId="0" applyFont="1" applyBorder="1"/>
    <xf numFmtId="170" fontId="5" fillId="3" borderId="18" xfId="0" applyNumberFormat="1" applyFont="1" applyFill="1" applyBorder="1"/>
    <xf numFmtId="170" fontId="5" fillId="0" borderId="35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171" fontId="5" fillId="3" borderId="18" xfId="0" applyNumberFormat="1" applyFont="1" applyFill="1" applyBorder="1"/>
    <xf numFmtId="0" fontId="5" fillId="0" borderId="21" xfId="0" applyFont="1" applyBorder="1" applyAlignment="1">
      <alignment horizontal="right"/>
    </xf>
    <xf numFmtId="0" fontId="26" fillId="0" borderId="0" xfId="0" applyFont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5" fillId="0" borderId="18" xfId="0" applyFont="1" applyFill="1" applyBorder="1"/>
    <xf numFmtId="0" fontId="25" fillId="0" borderId="0" xfId="0" applyFont="1"/>
    <xf numFmtId="0" fontId="1" fillId="0" borderId="2" xfId="0" applyFont="1" applyBorder="1" applyAlignment="1">
      <alignment vertical="center"/>
    </xf>
    <xf numFmtId="169" fontId="7" fillId="0" borderId="18" xfId="0" applyNumberFormat="1" applyFont="1" applyBorder="1"/>
    <xf numFmtId="9" fontId="18" fillId="0" borderId="18" xfId="2" applyFont="1" applyBorder="1"/>
    <xf numFmtId="10" fontId="18" fillId="0" borderId="18" xfId="2" applyNumberFormat="1" applyFont="1" applyBorder="1"/>
    <xf numFmtId="9" fontId="7" fillId="0" borderId="29" xfId="2" applyFont="1" applyBorder="1"/>
    <xf numFmtId="0" fontId="5" fillId="0" borderId="50" xfId="0" applyFont="1" applyBorder="1"/>
    <xf numFmtId="165" fontId="1" fillId="0" borderId="0" xfId="3" applyFont="1" applyAlignment="1">
      <alignment vertical="center"/>
    </xf>
    <xf numFmtId="0" fontId="3" fillId="11" borderId="1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165" fontId="5" fillId="3" borderId="18" xfId="3" applyFont="1" applyFill="1" applyBorder="1"/>
    <xf numFmtId="172" fontId="21" fillId="3" borderId="18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3" fillId="0" borderId="0" xfId="3" applyNumberFormat="1" applyFont="1" applyBorder="1" applyAlignment="1">
      <alignment horizontal="center" vertical="center"/>
    </xf>
    <xf numFmtId="165" fontId="6" fillId="0" borderId="0" xfId="3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174" fontId="6" fillId="0" borderId="1" xfId="3" applyNumberFormat="1" applyFont="1" applyBorder="1" applyAlignment="1">
      <alignment horizontal="center" vertical="center"/>
    </xf>
    <xf numFmtId="165" fontId="6" fillId="0" borderId="1" xfId="3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3" borderId="2" xfId="3" applyFont="1" applyFill="1" applyBorder="1" applyAlignment="1">
      <alignment horizontal="center" vertical="center"/>
    </xf>
    <xf numFmtId="165" fontId="1" fillId="0" borderId="2" xfId="3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65" fontId="1" fillId="0" borderId="0" xfId="3" applyFont="1"/>
    <xf numFmtId="165" fontId="1" fillId="0" borderId="1" xfId="3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5" fontId="1" fillId="0" borderId="0" xfId="3" applyFont="1" applyAlignment="1">
      <alignment horizontal="right" vertical="center"/>
    </xf>
    <xf numFmtId="165" fontId="1" fillId="0" borderId="1" xfId="3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5" fontId="1" fillId="0" borderId="6" xfId="3" applyFont="1" applyBorder="1" applyAlignment="1">
      <alignment vertical="center"/>
    </xf>
    <xf numFmtId="165" fontId="1" fillId="0" borderId="7" xfId="3" applyFont="1" applyBorder="1" applyAlignment="1">
      <alignment vertical="center"/>
    </xf>
    <xf numFmtId="0" fontId="22" fillId="0" borderId="2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10" fontId="22" fillId="0" borderId="18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left" vertical="center"/>
    </xf>
    <xf numFmtId="10" fontId="27" fillId="0" borderId="18" xfId="0" applyNumberFormat="1" applyFont="1" applyBorder="1" applyAlignment="1">
      <alignment horizontal="right" vertical="center"/>
    </xf>
    <xf numFmtId="0" fontId="22" fillId="5" borderId="21" xfId="0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left" vertical="center"/>
    </xf>
    <xf numFmtId="10" fontId="27" fillId="5" borderId="18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7" fillId="9" borderId="34" xfId="0" applyFont="1" applyFill="1" applyBorder="1" applyAlignment="1">
      <alignment horizontal="left" vertical="center"/>
    </xf>
    <xf numFmtId="10" fontId="27" fillId="9" borderId="35" xfId="0" applyNumberFormat="1" applyFont="1" applyFill="1" applyBorder="1" applyAlignment="1">
      <alignment horizontal="right" vertical="center"/>
    </xf>
    <xf numFmtId="0" fontId="22" fillId="9" borderId="22" xfId="0" applyFont="1" applyFill="1" applyBorder="1" applyAlignment="1">
      <alignment horizontal="center" vertical="center"/>
    </xf>
    <xf numFmtId="0" fontId="1" fillId="0" borderId="0" xfId="4" applyFont="1"/>
    <xf numFmtId="0" fontId="3" fillId="0" borderId="0" xfId="4" applyFont="1"/>
    <xf numFmtId="0" fontId="18" fillId="0" borderId="26" xfId="4" applyFont="1" applyBorder="1"/>
    <xf numFmtId="0" fontId="18" fillId="0" borderId="21" xfId="4" applyFont="1" applyBorder="1"/>
    <xf numFmtId="0" fontId="18" fillId="0" borderId="46" xfId="4" applyFont="1" applyBorder="1"/>
    <xf numFmtId="0" fontId="18" fillId="0" borderId="45" xfId="4" applyFont="1" applyBorder="1"/>
    <xf numFmtId="0" fontId="18" fillId="0" borderId="18" xfId="4" applyFont="1" applyBorder="1"/>
    <xf numFmtId="169" fontId="7" fillId="0" borderId="18" xfId="4" applyNumberFormat="1" applyFont="1" applyBorder="1"/>
    <xf numFmtId="0" fontId="7" fillId="0" borderId="46" xfId="4" applyFont="1" applyBorder="1"/>
    <xf numFmtId="0" fontId="5" fillId="0" borderId="37" xfId="4" applyFont="1" applyBorder="1"/>
    <xf numFmtId="0" fontId="5" fillId="0" borderId="36" xfId="4" applyFont="1" applyBorder="1"/>
    <xf numFmtId="0" fontId="5" fillId="0" borderId="18" xfId="4" applyFont="1" applyFill="1" applyBorder="1"/>
    <xf numFmtId="0" fontId="5" fillId="0" borderId="21" xfId="4" applyFont="1" applyBorder="1"/>
    <xf numFmtId="0" fontId="5" fillId="3" borderId="18" xfId="4" applyFont="1" applyFill="1" applyBorder="1"/>
    <xf numFmtId="0" fontId="1" fillId="0" borderId="0" xfId="4" applyFont="1" applyBorder="1"/>
    <xf numFmtId="0" fontId="5" fillId="3" borderId="48" xfId="4" applyFont="1" applyFill="1" applyBorder="1"/>
    <xf numFmtId="0" fontId="5" fillId="0" borderId="47" xfId="4" applyFont="1" applyBorder="1"/>
    <xf numFmtId="0" fontId="5" fillId="0" borderId="13" xfId="4" applyFont="1" applyBorder="1"/>
    <xf numFmtId="0" fontId="18" fillId="0" borderId="12" xfId="4" applyFont="1" applyBorder="1"/>
    <xf numFmtId="0" fontId="5" fillId="3" borderId="46" xfId="4" applyFont="1" applyFill="1" applyBorder="1"/>
    <xf numFmtId="0" fontId="5" fillId="0" borderId="50" xfId="4" applyFont="1" applyBorder="1"/>
    <xf numFmtId="0" fontId="5" fillId="0" borderId="45" xfId="4" applyFont="1" applyBorder="1"/>
    <xf numFmtId="0" fontId="18" fillId="3" borderId="18" xfId="4" applyFont="1" applyFill="1" applyBorder="1"/>
    <xf numFmtId="0" fontId="25" fillId="0" borderId="0" xfId="4" applyFont="1"/>
    <xf numFmtId="0" fontId="6" fillId="0" borderId="0" xfId="0" applyFont="1" applyBorder="1" applyAlignment="1">
      <alignment horizontal="center" vertical="center"/>
    </xf>
    <xf numFmtId="165" fontId="6" fillId="0" borderId="0" xfId="3" applyNumberFormat="1" applyFont="1" applyBorder="1" applyAlignment="1">
      <alignment horizontal="center" vertical="center"/>
    </xf>
    <xf numFmtId="165" fontId="1" fillId="0" borderId="0" xfId="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3" fontId="1" fillId="0" borderId="1" xfId="0" applyNumberFormat="1" applyFont="1" applyFill="1" applyBorder="1" applyAlignment="1">
      <alignment vertical="center"/>
    </xf>
    <xf numFmtId="165" fontId="1" fillId="0" borderId="1" xfId="3" applyFont="1" applyFill="1" applyBorder="1" applyAlignment="1">
      <alignment vertical="center"/>
    </xf>
    <xf numFmtId="13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vertical="center"/>
    </xf>
    <xf numFmtId="17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17" fillId="10" borderId="51" xfId="4" applyFont="1" applyFill="1" applyBorder="1" applyAlignment="1">
      <alignment horizontal="center"/>
    </xf>
    <xf numFmtId="0" fontId="1" fillId="0" borderId="52" xfId="4" applyFont="1" applyBorder="1"/>
    <xf numFmtId="0" fontId="28" fillId="0" borderId="52" xfId="4" applyFont="1" applyBorder="1" applyAlignment="1">
      <alignment horizontal="justify"/>
    </xf>
    <xf numFmtId="0" fontId="28" fillId="0" borderId="53" xfId="4" applyFont="1" applyBorder="1" applyAlignment="1">
      <alignment horizontal="justify"/>
    </xf>
    <xf numFmtId="0" fontId="1" fillId="0" borderId="0" xfId="4"/>
    <xf numFmtId="0" fontId="5" fillId="0" borderId="0" xfId="4" applyFont="1"/>
    <xf numFmtId="0" fontId="31" fillId="0" borderId="0" xfId="4" applyFont="1"/>
    <xf numFmtId="0" fontId="32" fillId="0" borderId="0" xfId="4" applyFont="1"/>
    <xf numFmtId="0" fontId="32" fillId="0" borderId="5" xfId="4" applyFont="1" applyBorder="1"/>
    <xf numFmtId="0" fontId="7" fillId="0" borderId="6" xfId="4" applyFont="1" applyBorder="1"/>
    <xf numFmtId="0" fontId="7" fillId="0" borderId="7" xfId="4" applyFont="1" applyBorder="1"/>
    <xf numFmtId="0" fontId="7" fillId="0" borderId="4" xfId="4" applyFont="1" applyBorder="1" applyAlignment="1"/>
    <xf numFmtId="0" fontId="7" fillId="0" borderId="5" xfId="4" applyFont="1" applyBorder="1" applyAlignment="1"/>
    <xf numFmtId="0" fontId="31" fillId="0" borderId="5" xfId="4" applyFont="1" applyBorder="1"/>
    <xf numFmtId="0" fontId="5" fillId="0" borderId="6" xfId="4" applyFont="1" applyBorder="1"/>
    <xf numFmtId="0" fontId="5" fillId="0" borderId="7" xfId="4" applyFont="1" applyBorder="1"/>
    <xf numFmtId="0" fontId="5" fillId="0" borderId="4" xfId="4" applyFont="1" applyBorder="1" applyAlignment="1"/>
    <xf numFmtId="165" fontId="5" fillId="0" borderId="4" xfId="3" applyFont="1" applyBorder="1" applyAlignment="1">
      <alignment horizontal="center"/>
    </xf>
    <xf numFmtId="43" fontId="5" fillId="0" borderId="4" xfId="4" applyNumberFormat="1" applyFont="1" applyBorder="1" applyAlignment="1"/>
    <xf numFmtId="0" fontId="5" fillId="0" borderId="4" xfId="4" applyFont="1" applyBorder="1"/>
    <xf numFmtId="165" fontId="5" fillId="0" borderId="4" xfId="3" applyFont="1" applyBorder="1"/>
    <xf numFmtId="0" fontId="7" fillId="0" borderId="4" xfId="4" applyFont="1" applyBorder="1"/>
    <xf numFmtId="43" fontId="7" fillId="0" borderId="4" xfId="4" applyNumberFormat="1" applyFont="1" applyBorder="1" applyAlignment="1"/>
    <xf numFmtId="0" fontId="31" fillId="0" borderId="0" xfId="4" applyFont="1" applyBorder="1"/>
    <xf numFmtId="0" fontId="5" fillId="0" borderId="0" xfId="4" applyFont="1" applyBorder="1"/>
    <xf numFmtId="0" fontId="5" fillId="0" borderId="0" xfId="4" applyFont="1" applyBorder="1" applyAlignment="1">
      <alignment horizontal="center"/>
    </xf>
    <xf numFmtId="43" fontId="5" fillId="0" borderId="0" xfId="4" applyNumberFormat="1" applyFont="1" applyBorder="1" applyAlignment="1">
      <alignment horizontal="center"/>
    </xf>
    <xf numFmtId="0" fontId="31" fillId="0" borderId="0" xfId="4" applyFont="1" applyBorder="1" applyAlignment="1">
      <alignment horizontal="left"/>
    </xf>
    <xf numFmtId="0" fontId="7" fillId="0" borderId="5" xfId="4" applyFont="1" applyBorder="1" applyAlignment="1">
      <alignment horizontal="center"/>
    </xf>
    <xf numFmtId="0" fontId="32" fillId="0" borderId="5" xfId="4" applyFont="1" applyBorder="1" applyAlignment="1"/>
    <xf numFmtId="0" fontId="32" fillId="0" borderId="6" xfId="4" applyFont="1" applyBorder="1" applyAlignment="1"/>
    <xf numFmtId="0" fontId="32" fillId="0" borderId="7" xfId="4" applyFont="1" applyBorder="1" applyAlignment="1"/>
    <xf numFmtId="0" fontId="7" fillId="3" borderId="5" xfId="4" applyFont="1" applyFill="1" applyBorder="1" applyAlignment="1"/>
    <xf numFmtId="43" fontId="5" fillId="0" borderId="0" xfId="4" applyNumberFormat="1" applyFont="1" applyBorder="1" applyAlignment="1"/>
    <xf numFmtId="0" fontId="3" fillId="0" borderId="4" xfId="4" applyFont="1" applyBorder="1"/>
    <xf numFmtId="43" fontId="5" fillId="0" borderId="4" xfId="4" applyNumberFormat="1" applyFont="1" applyBorder="1"/>
    <xf numFmtId="165" fontId="5" fillId="0" borderId="4" xfId="3" applyNumberFormat="1" applyFont="1" applyBorder="1"/>
    <xf numFmtId="43" fontId="7" fillId="4" borderId="4" xfId="4" applyNumberFormat="1" applyFont="1" applyFill="1" applyBorder="1"/>
    <xf numFmtId="43" fontId="7" fillId="0" borderId="4" xfId="4" applyNumberFormat="1" applyFont="1" applyBorder="1"/>
    <xf numFmtId="0" fontId="5" fillId="0" borderId="0" xfId="4" applyFont="1" applyBorder="1" applyAlignment="1">
      <alignment horizontal="left"/>
    </xf>
    <xf numFmtId="43" fontId="1" fillId="0" borderId="0" xfId="4" applyNumberFormat="1"/>
    <xf numFmtId="165" fontId="1" fillId="3" borderId="1" xfId="3" applyFont="1" applyFill="1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7" xfId="4" applyFont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7" xfId="4" applyFont="1" applyBorder="1" applyAlignment="1">
      <alignment horizontal="center"/>
    </xf>
    <xf numFmtId="0" fontId="10" fillId="0" borderId="5" xfId="4" applyFont="1" applyBorder="1" applyAlignment="1"/>
    <xf numFmtId="0" fontId="10" fillId="0" borderId="6" xfId="4" applyFont="1" applyBorder="1" applyAlignment="1"/>
    <xf numFmtId="0" fontId="10" fillId="0" borderId="7" xfId="4" applyFont="1" applyBorder="1" applyAlignment="1"/>
    <xf numFmtId="0" fontId="7" fillId="0" borderId="5" xfId="4" applyFont="1" applyBorder="1" applyAlignment="1">
      <alignment horizontal="left"/>
    </xf>
    <xf numFmtId="0" fontId="7" fillId="0" borderId="6" xfId="4" applyFont="1" applyBorder="1" applyAlignment="1">
      <alignment horizontal="left"/>
    </xf>
    <xf numFmtId="0" fontId="7" fillId="0" borderId="7" xfId="4" applyFont="1" applyBorder="1" applyAlignment="1">
      <alignment horizontal="left"/>
    </xf>
    <xf numFmtId="0" fontId="32" fillId="0" borderId="5" xfId="4" applyFont="1" applyBorder="1" applyAlignment="1">
      <alignment horizontal="left"/>
    </xf>
    <xf numFmtId="0" fontId="32" fillId="0" borderId="6" xfId="4" applyFont="1" applyBorder="1" applyAlignment="1">
      <alignment horizontal="left"/>
    </xf>
    <xf numFmtId="0" fontId="7" fillId="0" borderId="5" xfId="4" applyFont="1" applyBorder="1" applyAlignment="1">
      <alignment horizontal="center" wrapText="1"/>
    </xf>
    <xf numFmtId="0" fontId="7" fillId="0" borderId="7" xfId="4" applyFont="1" applyBorder="1" applyAlignment="1">
      <alignment horizontal="center" wrapText="1"/>
    </xf>
    <xf numFmtId="0" fontId="7" fillId="0" borderId="26" xfId="4" applyFont="1" applyBorder="1" applyAlignment="1">
      <alignment horizontal="center"/>
    </xf>
    <xf numFmtId="0" fontId="7" fillId="0" borderId="28" xfId="4" applyFont="1" applyBorder="1" applyAlignment="1">
      <alignment horizontal="center"/>
    </xf>
    <xf numFmtId="0" fontId="5" fillId="0" borderId="0" xfId="4" applyFont="1" applyAlignment="1">
      <alignment horizontal="center"/>
    </xf>
    <xf numFmtId="0" fontId="17" fillId="10" borderId="19" xfId="0" applyFont="1" applyFill="1" applyBorder="1" applyAlignment="1">
      <alignment horizontal="center"/>
    </xf>
    <xf numFmtId="0" fontId="17" fillId="10" borderId="20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5" fontId="3" fillId="0" borderId="12" xfId="3" applyFont="1" applyBorder="1" applyAlignment="1">
      <alignment horizontal="left" vertical="center"/>
    </xf>
    <xf numFmtId="165" fontId="3" fillId="0" borderId="8" xfId="3" applyFont="1" applyBorder="1" applyAlignment="1">
      <alignment horizontal="left" vertical="center"/>
    </xf>
    <xf numFmtId="0" fontId="17" fillId="8" borderId="23" xfId="0" applyFont="1" applyFill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3" fillId="0" borderId="41" xfId="3" applyFont="1" applyBorder="1" applyAlignment="1">
      <alignment horizontal="center" vertical="center"/>
    </xf>
    <xf numFmtId="165" fontId="4" fillId="8" borderId="5" xfId="3" applyFont="1" applyFill="1" applyBorder="1" applyAlignment="1">
      <alignment horizontal="center" vertical="center"/>
    </xf>
    <xf numFmtId="165" fontId="4" fillId="8" borderId="6" xfId="3" applyFont="1" applyFill="1" applyBorder="1" applyAlignment="1">
      <alignment horizontal="center" vertical="center"/>
    </xf>
    <xf numFmtId="165" fontId="4" fillId="8" borderId="7" xfId="3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/>
    </xf>
    <xf numFmtId="0" fontId="17" fillId="10" borderId="4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9" fontId="7" fillId="0" borderId="19" xfId="2" applyFont="1" applyBorder="1" applyAlignment="1">
      <alignment horizontal="center"/>
    </xf>
    <xf numFmtId="9" fontId="7" fillId="0" borderId="20" xfId="2" applyFont="1" applyBorder="1" applyAlignment="1">
      <alignment horizontal="center"/>
    </xf>
    <xf numFmtId="9" fontId="7" fillId="0" borderId="10" xfId="2" applyFont="1" applyBorder="1" applyAlignment="1">
      <alignment horizont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17" fillId="10" borderId="17" xfId="4" applyFont="1" applyFill="1" applyBorder="1" applyAlignment="1">
      <alignment horizontal="center"/>
    </xf>
    <xf numFmtId="0" fontId="17" fillId="10" borderId="44" xfId="4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</cellXfs>
  <cellStyles count="5">
    <cellStyle name="Hiperlink" xfId="1" builtinId="8"/>
    <cellStyle name="Normal" xfId="0" builtinId="0"/>
    <cellStyle name="Normal 2" xfId="4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4295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0967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3"/>
  <sheetViews>
    <sheetView workbookViewId="0">
      <selection activeCell="I50" sqref="I50"/>
    </sheetView>
  </sheetViews>
  <sheetFormatPr defaultRowHeight="12.75" x14ac:dyDescent="0.2"/>
  <cols>
    <col min="1" max="4" width="9.140625" style="373"/>
    <col min="5" max="5" width="11.42578125" style="373" bestFit="1" customWidth="1"/>
    <col min="6" max="6" width="9.140625" style="373"/>
    <col min="7" max="7" width="10.5703125" style="373" bestFit="1" customWidth="1"/>
    <col min="8" max="8" width="16.42578125" style="373" customWidth="1"/>
    <col min="9" max="9" width="17.85546875" style="373" customWidth="1"/>
    <col min="10" max="16384" width="9.140625" style="373"/>
  </cols>
  <sheetData>
    <row r="3" spans="1:9" ht="15" x14ac:dyDescent="0.25">
      <c r="A3" s="411" t="s">
        <v>313</v>
      </c>
      <c r="B3" s="411"/>
      <c r="C3" s="411"/>
      <c r="D3" s="411"/>
      <c r="E3" s="411"/>
      <c r="F3" s="411"/>
      <c r="G3" s="411"/>
      <c r="H3" s="411"/>
      <c r="I3" s="411"/>
    </row>
    <row r="4" spans="1:9" ht="14.25" x14ac:dyDescent="0.2">
      <c r="A4" s="374" t="s">
        <v>314</v>
      </c>
      <c r="B4" s="374"/>
      <c r="C4" s="374"/>
      <c r="D4" s="374"/>
      <c r="E4" s="374"/>
      <c r="F4" s="374"/>
      <c r="G4" s="374"/>
      <c r="H4" s="374"/>
      <c r="I4" s="374"/>
    </row>
    <row r="5" spans="1:9" ht="14.25" x14ac:dyDescent="0.2">
      <c r="A5" s="374" t="s">
        <v>315</v>
      </c>
      <c r="B5" s="374"/>
      <c r="C5" s="374"/>
      <c r="D5" s="374"/>
      <c r="E5" s="374"/>
      <c r="F5" s="374"/>
      <c r="G5" s="374"/>
      <c r="H5" s="374"/>
      <c r="I5" s="374"/>
    </row>
    <row r="6" spans="1:9" ht="14.25" x14ac:dyDescent="0.2">
      <c r="A6" s="374"/>
      <c r="B6" s="374"/>
      <c r="C6" s="374"/>
      <c r="D6" s="374"/>
      <c r="E6" s="374"/>
      <c r="F6" s="374"/>
      <c r="G6" s="374"/>
      <c r="H6" s="374"/>
      <c r="I6" s="374"/>
    </row>
    <row r="7" spans="1:9" ht="14.25" x14ac:dyDescent="0.2">
      <c r="A7" s="374" t="s">
        <v>316</v>
      </c>
      <c r="B7" s="374"/>
      <c r="C7" s="374"/>
      <c r="D7" s="374"/>
      <c r="E7" s="374"/>
      <c r="F7" s="374"/>
      <c r="G7" s="374"/>
      <c r="H7" s="374"/>
      <c r="I7" s="374"/>
    </row>
    <row r="8" spans="1:9" ht="14.25" x14ac:dyDescent="0.2">
      <c r="A8" s="374" t="s">
        <v>317</v>
      </c>
      <c r="B8" s="374"/>
      <c r="C8" s="374"/>
      <c r="D8" s="374"/>
      <c r="E8" s="374"/>
      <c r="F8" s="374"/>
      <c r="G8" s="374"/>
      <c r="H8" s="374"/>
      <c r="I8" s="374"/>
    </row>
    <row r="9" spans="1:9" ht="14.25" x14ac:dyDescent="0.2">
      <c r="A9" s="374" t="s">
        <v>318</v>
      </c>
      <c r="B9" s="374"/>
      <c r="C9" s="374"/>
      <c r="D9" s="374"/>
      <c r="E9" s="374"/>
      <c r="F9" s="374"/>
      <c r="G9" s="374"/>
      <c r="H9" s="374"/>
      <c r="I9" s="374"/>
    </row>
    <row r="10" spans="1:9" ht="14.25" x14ac:dyDescent="0.2">
      <c r="A10" s="374"/>
      <c r="B10" s="374"/>
      <c r="C10" s="374"/>
      <c r="D10" s="374"/>
      <c r="E10" s="374"/>
      <c r="F10" s="374"/>
      <c r="G10" s="374"/>
      <c r="H10" s="374"/>
      <c r="I10" s="374"/>
    </row>
    <row r="11" spans="1:9" ht="14.25" x14ac:dyDescent="0.2">
      <c r="A11" s="374" t="s">
        <v>319</v>
      </c>
      <c r="B11" s="374"/>
      <c r="C11" s="374"/>
      <c r="D11" s="374"/>
      <c r="E11" s="374"/>
      <c r="F11" s="374"/>
      <c r="G11" s="374"/>
      <c r="H11" s="374"/>
      <c r="I11" s="374"/>
    </row>
    <row r="12" spans="1:9" ht="14.25" x14ac:dyDescent="0.2">
      <c r="A12" s="374" t="s">
        <v>320</v>
      </c>
      <c r="B12" s="374"/>
      <c r="C12" s="374"/>
      <c r="D12" s="374"/>
      <c r="E12" s="374"/>
      <c r="F12" s="374"/>
      <c r="G12" s="374"/>
      <c r="H12" s="374"/>
      <c r="I12" s="374"/>
    </row>
    <row r="13" spans="1:9" ht="14.25" x14ac:dyDescent="0.2">
      <c r="A13" s="374" t="s">
        <v>321</v>
      </c>
      <c r="B13" s="374"/>
      <c r="C13" s="374"/>
      <c r="D13" s="374"/>
      <c r="E13" s="374"/>
      <c r="F13" s="374"/>
      <c r="G13" s="374"/>
      <c r="H13" s="374"/>
      <c r="I13" s="374"/>
    </row>
    <row r="14" spans="1:9" ht="14.25" x14ac:dyDescent="0.2">
      <c r="A14" s="375"/>
      <c r="B14" s="374"/>
      <c r="C14" s="374"/>
      <c r="D14" s="374"/>
      <c r="E14" s="374"/>
      <c r="F14" s="374"/>
      <c r="G14" s="374"/>
      <c r="H14" s="374"/>
      <c r="I14" s="374"/>
    </row>
    <row r="15" spans="1:9" ht="14.25" x14ac:dyDescent="0.2">
      <c r="A15" s="375"/>
      <c r="B15" s="374"/>
      <c r="C15" s="374"/>
      <c r="D15" s="374"/>
      <c r="E15" s="374"/>
      <c r="F15" s="374"/>
      <c r="G15" s="374"/>
      <c r="H15" s="374"/>
      <c r="I15" s="374"/>
    </row>
    <row r="16" spans="1:9" ht="14.25" x14ac:dyDescent="0.2">
      <c r="A16" s="375" t="s">
        <v>365</v>
      </c>
      <c r="B16" s="374"/>
      <c r="C16" s="374"/>
      <c r="D16" s="374"/>
      <c r="E16" s="374"/>
      <c r="F16" s="374"/>
      <c r="G16" s="374"/>
      <c r="H16" s="374"/>
      <c r="I16" s="374"/>
    </row>
    <row r="17" spans="1:10" ht="14.25" x14ac:dyDescent="0.2">
      <c r="A17" s="375" t="s">
        <v>366</v>
      </c>
      <c r="B17" s="374"/>
      <c r="C17" s="374"/>
      <c r="D17" s="374"/>
      <c r="E17" s="374"/>
      <c r="F17" s="374"/>
      <c r="G17" s="374"/>
      <c r="H17" s="374"/>
      <c r="I17" s="374"/>
    </row>
    <row r="18" spans="1:10" ht="14.25" x14ac:dyDescent="0.2">
      <c r="A18" s="375" t="s">
        <v>378</v>
      </c>
      <c r="B18" s="374"/>
      <c r="C18" s="374"/>
      <c r="D18" s="374"/>
      <c r="E18" s="374"/>
      <c r="F18" s="374"/>
      <c r="G18" s="374"/>
      <c r="H18" s="374"/>
      <c r="I18" s="374"/>
    </row>
    <row r="19" spans="1:10" ht="14.25" x14ac:dyDescent="0.2">
      <c r="A19" s="375"/>
      <c r="B19" s="374"/>
      <c r="C19" s="374"/>
      <c r="D19" s="374"/>
      <c r="E19" s="374"/>
      <c r="F19" s="374"/>
      <c r="G19" s="374"/>
      <c r="H19" s="374"/>
      <c r="I19" s="374"/>
    </row>
    <row r="20" spans="1:10" ht="14.25" x14ac:dyDescent="0.2">
      <c r="A20" s="375"/>
      <c r="B20" s="374"/>
      <c r="C20" s="374"/>
      <c r="D20" s="374"/>
      <c r="E20" s="374"/>
      <c r="F20" s="374"/>
      <c r="G20" s="374"/>
      <c r="H20" s="374"/>
      <c r="I20" s="374"/>
    </row>
    <row r="21" spans="1:10" ht="14.25" x14ac:dyDescent="0.2">
      <c r="A21" s="375" t="s">
        <v>322</v>
      </c>
      <c r="B21" s="374"/>
      <c r="C21" s="374"/>
      <c r="D21" s="374"/>
      <c r="E21" s="374"/>
      <c r="F21" s="374"/>
      <c r="G21" s="374"/>
      <c r="H21" s="374"/>
      <c r="I21" s="374"/>
    </row>
    <row r="22" spans="1:10" ht="15.75" thickBot="1" x14ac:dyDescent="0.3">
      <c r="A22" s="376" t="s">
        <v>323</v>
      </c>
      <c r="B22" s="374"/>
      <c r="C22" s="374"/>
      <c r="D22" s="374"/>
      <c r="E22" s="374"/>
      <c r="F22" s="374"/>
      <c r="G22" s="374"/>
      <c r="H22" s="374"/>
      <c r="I22" s="374"/>
    </row>
    <row r="23" spans="1:10" ht="15.75" thickBot="1" x14ac:dyDescent="0.3">
      <c r="A23" s="377" t="s">
        <v>324</v>
      </c>
      <c r="B23" s="378"/>
      <c r="C23" s="378"/>
      <c r="D23" s="379"/>
      <c r="E23" s="380" t="s">
        <v>325</v>
      </c>
      <c r="F23" s="412" t="s">
        <v>326</v>
      </c>
      <c r="G23" s="413"/>
      <c r="H23" s="381" t="s">
        <v>327</v>
      </c>
      <c r="I23" s="380" t="s">
        <v>328</v>
      </c>
    </row>
    <row r="24" spans="1:10" ht="15" thickBot="1" x14ac:dyDescent="0.25">
      <c r="A24" s="382" t="s">
        <v>367</v>
      </c>
      <c r="B24" s="383"/>
      <c r="C24" s="383"/>
      <c r="D24" s="384"/>
      <c r="E24" s="385">
        <v>1</v>
      </c>
      <c r="F24" s="414">
        <v>4.33</v>
      </c>
      <c r="G24" s="415"/>
      <c r="H24" s="386">
        <v>24.3</v>
      </c>
      <c r="I24" s="387">
        <f>E24*F24*H24</f>
        <v>105.21900000000001</v>
      </c>
    </row>
    <row r="25" spans="1:10" ht="15" thickBot="1" x14ac:dyDescent="0.25">
      <c r="A25" s="382" t="s">
        <v>368</v>
      </c>
      <c r="B25" s="383"/>
      <c r="C25" s="383"/>
      <c r="D25" s="384"/>
      <c r="E25" s="385">
        <v>1</v>
      </c>
      <c r="F25" s="414">
        <v>4.33</v>
      </c>
      <c r="G25" s="415"/>
      <c r="H25" s="386">
        <v>27.7</v>
      </c>
      <c r="I25" s="387">
        <f t="shared" ref="I25:I28" si="0">E25*F25*H25</f>
        <v>119.941</v>
      </c>
    </row>
    <row r="26" spans="1:10" ht="15" thickBot="1" x14ac:dyDescent="0.25">
      <c r="A26" s="382" t="s">
        <v>369</v>
      </c>
      <c r="B26" s="383"/>
      <c r="C26" s="383"/>
      <c r="D26" s="384"/>
      <c r="E26" s="385">
        <v>1</v>
      </c>
      <c r="F26" s="414">
        <v>4.33</v>
      </c>
      <c r="G26" s="415"/>
      <c r="H26" s="386">
        <v>44.3</v>
      </c>
      <c r="I26" s="387">
        <f t="shared" si="0"/>
        <v>191.81899999999999</v>
      </c>
    </row>
    <row r="27" spans="1:10" ht="15" thickBot="1" x14ac:dyDescent="0.25">
      <c r="A27" s="382" t="s">
        <v>370</v>
      </c>
      <c r="B27" s="383"/>
      <c r="C27" s="383"/>
      <c r="D27" s="384"/>
      <c r="E27" s="385">
        <v>1</v>
      </c>
      <c r="F27" s="414">
        <v>4.33</v>
      </c>
      <c r="G27" s="415"/>
      <c r="H27" s="386">
        <v>37.4</v>
      </c>
      <c r="I27" s="387">
        <f t="shared" si="0"/>
        <v>161.94200000000001</v>
      </c>
    </row>
    <row r="28" spans="1:10" ht="15" thickBot="1" x14ac:dyDescent="0.25">
      <c r="A28" s="382" t="s">
        <v>371</v>
      </c>
      <c r="B28" s="383"/>
      <c r="C28" s="383"/>
      <c r="D28" s="384"/>
      <c r="E28" s="385">
        <v>1</v>
      </c>
      <c r="F28" s="414">
        <v>4.33</v>
      </c>
      <c r="G28" s="415"/>
      <c r="H28" s="386">
        <v>19.3</v>
      </c>
      <c r="I28" s="387">
        <f t="shared" si="0"/>
        <v>83.569000000000003</v>
      </c>
      <c r="J28" s="409">
        <f>SUM(I24:I28)</f>
        <v>662.49</v>
      </c>
    </row>
    <row r="29" spans="1:10" ht="15" thickBot="1" x14ac:dyDescent="0.25">
      <c r="A29" s="382" t="s">
        <v>372</v>
      </c>
      <c r="B29" s="383"/>
      <c r="C29" s="383"/>
      <c r="D29" s="384"/>
      <c r="E29" s="388">
        <v>5</v>
      </c>
      <c r="F29" s="414">
        <v>4.33</v>
      </c>
      <c r="G29" s="415"/>
      <c r="H29" s="389">
        <v>122</v>
      </c>
      <c r="I29" s="387">
        <f>E29*F29*H29</f>
        <v>2641.2999999999997</v>
      </c>
    </row>
    <row r="30" spans="1:10" ht="15.75" thickBot="1" x14ac:dyDescent="0.3">
      <c r="A30" s="382" t="s">
        <v>329</v>
      </c>
      <c r="B30" s="378"/>
      <c r="C30" s="378"/>
      <c r="D30" s="379"/>
      <c r="E30" s="390">
        <f>SUM(E24:E29)</f>
        <v>10</v>
      </c>
      <c r="F30" s="412"/>
      <c r="G30" s="413"/>
      <c r="H30" s="390"/>
      <c r="I30" s="391">
        <f>SUM(I24:I29)</f>
        <v>3303.79</v>
      </c>
    </row>
    <row r="31" spans="1:10" ht="14.25" x14ac:dyDescent="0.2">
      <c r="A31" s="392"/>
      <c r="B31" s="393"/>
      <c r="C31" s="393"/>
      <c r="D31" s="393"/>
      <c r="E31" s="393"/>
      <c r="F31" s="394"/>
      <c r="G31" s="394"/>
      <c r="H31" s="393"/>
      <c r="I31" s="395"/>
    </row>
    <row r="32" spans="1:10" ht="15" thickBot="1" x14ac:dyDescent="0.25">
      <c r="A32" s="396"/>
      <c r="B32" s="396"/>
      <c r="C32" s="396"/>
      <c r="D32" s="396"/>
      <c r="E32" s="393"/>
      <c r="F32" s="394"/>
      <c r="G32" s="394"/>
      <c r="H32" s="393"/>
      <c r="I32" s="395"/>
    </row>
    <row r="33" spans="1:9" ht="15.75" thickBot="1" x14ac:dyDescent="0.3">
      <c r="A33" s="422" t="s">
        <v>324</v>
      </c>
      <c r="B33" s="423"/>
      <c r="C33" s="423"/>
      <c r="D33" s="423"/>
      <c r="E33" s="423"/>
      <c r="F33" s="424" t="s">
        <v>330</v>
      </c>
      <c r="G33" s="425"/>
      <c r="H33" s="397" t="s">
        <v>331</v>
      </c>
      <c r="I33" s="391" t="s">
        <v>332</v>
      </c>
    </row>
    <row r="34" spans="1:9" ht="15.75" thickBot="1" x14ac:dyDescent="0.3">
      <c r="A34" s="398" t="s">
        <v>333</v>
      </c>
      <c r="B34" s="399"/>
      <c r="C34" s="399"/>
      <c r="D34" s="400"/>
      <c r="E34" s="383"/>
      <c r="F34" s="426"/>
      <c r="G34" s="427"/>
      <c r="H34" s="401"/>
      <c r="I34" s="391">
        <f>I30</f>
        <v>3303.79</v>
      </c>
    </row>
    <row r="35" spans="1:9" ht="14.25" x14ac:dyDescent="0.2">
      <c r="A35" s="396" t="s">
        <v>334</v>
      </c>
      <c r="B35" s="396"/>
      <c r="C35" s="396"/>
      <c r="D35" s="396"/>
      <c r="E35" s="394"/>
      <c r="F35" s="394"/>
      <c r="G35" s="394"/>
      <c r="H35" s="394"/>
      <c r="I35" s="402"/>
    </row>
    <row r="36" spans="1:9" ht="14.25" x14ac:dyDescent="0.2">
      <c r="A36" s="396"/>
      <c r="B36" s="396"/>
      <c r="C36" s="396"/>
      <c r="D36" s="396"/>
      <c r="E36" s="394"/>
      <c r="F36" s="394"/>
      <c r="G36" s="394"/>
      <c r="H36" s="394"/>
      <c r="I36" s="395"/>
    </row>
    <row r="37" spans="1:9" ht="14.25" x14ac:dyDescent="0.2">
      <c r="A37" s="374" t="s">
        <v>335</v>
      </c>
      <c r="B37" s="374"/>
      <c r="C37" s="374"/>
      <c r="D37" s="374"/>
      <c r="E37" s="374"/>
      <c r="F37" s="374"/>
      <c r="G37" s="374"/>
      <c r="H37" s="374"/>
      <c r="I37" s="374"/>
    </row>
    <row r="38" spans="1:9" ht="14.25" x14ac:dyDescent="0.2">
      <c r="A38" s="374" t="s">
        <v>336</v>
      </c>
      <c r="B38" s="374"/>
      <c r="C38" s="374"/>
      <c r="D38" s="374"/>
      <c r="E38" s="374"/>
      <c r="F38" s="374"/>
      <c r="G38" s="374"/>
      <c r="H38" s="374"/>
      <c r="I38" s="374"/>
    </row>
    <row r="39" spans="1:9" ht="14.25" x14ac:dyDescent="0.2">
      <c r="A39" s="374" t="s">
        <v>337</v>
      </c>
      <c r="B39" s="374"/>
      <c r="C39" s="374"/>
      <c r="D39" s="374"/>
      <c r="E39" s="374"/>
      <c r="F39" s="374"/>
      <c r="G39" s="374"/>
      <c r="H39" s="374"/>
      <c r="I39" s="374"/>
    </row>
    <row r="40" spans="1:9" ht="14.25" x14ac:dyDescent="0.2">
      <c r="A40" s="374" t="s">
        <v>338</v>
      </c>
      <c r="B40" s="374"/>
      <c r="C40" s="374"/>
      <c r="D40" s="374"/>
      <c r="E40" s="374"/>
      <c r="F40" s="374"/>
      <c r="G40" s="374"/>
      <c r="H40" s="374"/>
      <c r="I40" s="374"/>
    </row>
    <row r="41" spans="1:9" ht="14.25" x14ac:dyDescent="0.2">
      <c r="A41" s="374" t="s">
        <v>339</v>
      </c>
      <c r="B41" s="374"/>
      <c r="C41" s="374"/>
      <c r="D41" s="374"/>
      <c r="E41" s="374"/>
      <c r="F41" s="374"/>
      <c r="G41" s="374"/>
      <c r="H41" s="374"/>
      <c r="I41" s="374"/>
    </row>
    <row r="42" spans="1:9" ht="14.25" x14ac:dyDescent="0.2">
      <c r="A42" s="374"/>
      <c r="B42" s="374"/>
      <c r="C42" s="374"/>
      <c r="D42" s="374"/>
      <c r="E42" s="374"/>
      <c r="F42" s="374"/>
      <c r="G42" s="374"/>
      <c r="H42" s="374"/>
      <c r="I42" s="374"/>
    </row>
    <row r="43" spans="1:9" ht="14.25" x14ac:dyDescent="0.2">
      <c r="A43" s="428" t="s">
        <v>374</v>
      </c>
      <c r="B43" s="428"/>
      <c r="C43" s="428"/>
      <c r="D43" s="428"/>
      <c r="E43" s="428"/>
      <c r="F43" s="428"/>
      <c r="G43" s="428"/>
      <c r="H43" s="428"/>
      <c r="I43" s="428"/>
    </row>
    <row r="44" spans="1:9" ht="14.25" x14ac:dyDescent="0.2">
      <c r="A44" s="374" t="s">
        <v>375</v>
      </c>
      <c r="B44" s="374"/>
      <c r="C44" s="374"/>
      <c r="D44" s="374"/>
      <c r="E44" s="374"/>
      <c r="F44" s="374"/>
      <c r="G44" s="374"/>
      <c r="H44" s="374"/>
      <c r="I44" s="374"/>
    </row>
    <row r="45" spans="1:9" ht="14.25" x14ac:dyDescent="0.2">
      <c r="A45" s="374"/>
      <c r="B45" s="374"/>
      <c r="C45" s="374"/>
      <c r="D45" s="374"/>
      <c r="E45" s="374"/>
      <c r="F45" s="374"/>
      <c r="G45" s="374"/>
      <c r="H45" s="374"/>
      <c r="I45" s="374"/>
    </row>
    <row r="46" spans="1:9" ht="14.25" x14ac:dyDescent="0.2">
      <c r="A46" s="374" t="s">
        <v>340</v>
      </c>
      <c r="B46" s="374"/>
      <c r="C46" s="374"/>
      <c r="D46" s="374"/>
      <c r="E46" s="374"/>
      <c r="F46" s="374"/>
      <c r="G46" s="374"/>
      <c r="H46" s="374"/>
      <c r="I46" s="374"/>
    </row>
    <row r="47" spans="1:9" ht="14.25" x14ac:dyDescent="0.2">
      <c r="A47" s="374" t="s">
        <v>341</v>
      </c>
      <c r="B47" s="374"/>
      <c r="C47" s="374"/>
      <c r="D47" s="374"/>
      <c r="E47" s="374"/>
      <c r="F47" s="374"/>
      <c r="G47" s="374"/>
      <c r="H47" s="374"/>
      <c r="I47" s="374"/>
    </row>
    <row r="48" spans="1:9" ht="15" thickBot="1" x14ac:dyDescent="0.25">
      <c r="A48" s="374"/>
      <c r="B48" s="374"/>
      <c r="C48" s="374"/>
      <c r="D48" s="374"/>
      <c r="E48" s="374"/>
      <c r="F48" s="374"/>
      <c r="G48" s="374"/>
      <c r="H48" s="374"/>
      <c r="I48" s="374"/>
    </row>
    <row r="49" spans="1:9" ht="15.75" thickBot="1" x14ac:dyDescent="0.3">
      <c r="A49" s="419" t="s">
        <v>127</v>
      </c>
      <c r="B49" s="420"/>
      <c r="C49" s="420"/>
      <c r="D49" s="421"/>
      <c r="E49" s="390" t="s">
        <v>332</v>
      </c>
      <c r="F49" s="390" t="s">
        <v>342</v>
      </c>
      <c r="G49" s="403" t="s">
        <v>343</v>
      </c>
      <c r="H49" s="374"/>
      <c r="I49" s="374"/>
    </row>
    <row r="50" spans="1:9" ht="15" thickBot="1" x14ac:dyDescent="0.25">
      <c r="A50" s="416" t="s">
        <v>344</v>
      </c>
      <c r="B50" s="417"/>
      <c r="C50" s="417"/>
      <c r="D50" s="418"/>
      <c r="E50" s="404">
        <f>SUM(I24:I28)</f>
        <v>662.49</v>
      </c>
      <c r="F50" s="388">
        <v>2.2000000000000002</v>
      </c>
      <c r="G50" s="405">
        <f>E50/F50</f>
        <v>301.13181818181818</v>
      </c>
      <c r="H50" s="374"/>
      <c r="I50" s="374"/>
    </row>
    <row r="51" spans="1:9" ht="15" thickBot="1" x14ac:dyDescent="0.25">
      <c r="A51" s="416" t="s">
        <v>345</v>
      </c>
      <c r="B51" s="417"/>
      <c r="C51" s="417"/>
      <c r="D51" s="418"/>
      <c r="E51" s="404">
        <f>I29</f>
        <v>2641.2999999999997</v>
      </c>
      <c r="F51" s="388">
        <v>4.0999999999999996</v>
      </c>
      <c r="G51" s="404">
        <f>E51/F51</f>
        <v>644.21951219512198</v>
      </c>
      <c r="H51" s="374"/>
      <c r="I51" s="374"/>
    </row>
    <row r="52" spans="1:9" ht="15.75" thickBot="1" x14ac:dyDescent="0.3">
      <c r="A52" s="419" t="s">
        <v>346</v>
      </c>
      <c r="B52" s="420"/>
      <c r="C52" s="420"/>
      <c r="D52" s="421"/>
      <c r="E52" s="406">
        <f>SUM(E50:E51)</f>
        <v>3303.79</v>
      </c>
      <c r="F52" s="390"/>
      <c r="G52" s="407">
        <f>SUM(G50:G51)</f>
        <v>945.35133037694015</v>
      </c>
      <c r="H52" s="374"/>
      <c r="I52" s="374"/>
    </row>
    <row r="53" spans="1:9" ht="14.25" x14ac:dyDescent="0.2">
      <c r="A53" s="374"/>
      <c r="B53" s="374"/>
      <c r="C53" s="374"/>
      <c r="D53" s="374"/>
      <c r="E53" s="374"/>
      <c r="F53" s="374"/>
      <c r="G53" s="374"/>
      <c r="H53" s="374"/>
      <c r="I53" s="374"/>
    </row>
    <row r="54" spans="1:9" ht="14.25" x14ac:dyDescent="0.2">
      <c r="A54" s="374"/>
      <c r="B54" s="374"/>
      <c r="C54" s="374"/>
      <c r="D54" s="374"/>
      <c r="E54" s="374"/>
      <c r="F54" s="374"/>
      <c r="G54" s="374"/>
      <c r="H54" s="374"/>
      <c r="I54" s="374"/>
    </row>
    <row r="55" spans="1:9" ht="14.25" x14ac:dyDescent="0.2">
      <c r="A55" s="374" t="s">
        <v>347</v>
      </c>
      <c r="B55" s="374"/>
      <c r="C55" s="374"/>
      <c r="D55" s="374"/>
      <c r="E55" s="374"/>
      <c r="F55" s="374"/>
      <c r="G55" s="374"/>
      <c r="H55" s="374"/>
      <c r="I55" s="374"/>
    </row>
    <row r="56" spans="1:9" ht="14.25" x14ac:dyDescent="0.2">
      <c r="A56" s="374" t="s">
        <v>376</v>
      </c>
      <c r="B56" s="374"/>
      <c r="C56" s="374"/>
      <c r="D56" s="374"/>
      <c r="E56" s="374"/>
      <c r="F56" s="374"/>
      <c r="G56" s="374"/>
      <c r="H56" s="374"/>
      <c r="I56" s="374"/>
    </row>
    <row r="57" spans="1:9" ht="14.25" x14ac:dyDescent="0.2">
      <c r="A57" s="374"/>
      <c r="B57" s="374"/>
      <c r="C57" s="374"/>
      <c r="D57" s="374"/>
      <c r="E57" s="374"/>
      <c r="F57" s="374"/>
      <c r="G57" s="374"/>
      <c r="H57" s="374"/>
      <c r="I57" s="374"/>
    </row>
    <row r="58" spans="1:9" ht="14.25" x14ac:dyDescent="0.2">
      <c r="A58" s="408" t="s">
        <v>377</v>
      </c>
      <c r="B58" s="408"/>
      <c r="C58" s="408"/>
      <c r="D58" s="408"/>
      <c r="E58" s="395"/>
      <c r="F58" s="395"/>
      <c r="G58" s="374"/>
      <c r="H58" s="374"/>
      <c r="I58" s="374"/>
    </row>
    <row r="59" spans="1:9" ht="14.25" x14ac:dyDescent="0.2">
      <c r="A59" s="374"/>
      <c r="B59" s="374"/>
      <c r="C59" s="374"/>
      <c r="D59" s="374"/>
      <c r="E59" s="374"/>
      <c r="F59" s="374"/>
      <c r="G59" s="374"/>
      <c r="H59" s="374"/>
      <c r="I59" s="374"/>
    </row>
    <row r="60" spans="1:9" ht="14.25" x14ac:dyDescent="0.2">
      <c r="A60" s="374" t="s">
        <v>120</v>
      </c>
      <c r="B60" s="374"/>
      <c r="C60" s="374"/>
      <c r="D60" s="374"/>
      <c r="E60" s="374"/>
      <c r="F60" s="374"/>
      <c r="G60" s="374"/>
      <c r="H60" s="374"/>
      <c r="I60" s="374"/>
    </row>
    <row r="61" spans="1:9" ht="14.25" x14ac:dyDescent="0.2">
      <c r="A61" s="374" t="s">
        <v>348</v>
      </c>
      <c r="B61" s="374"/>
      <c r="C61" s="374"/>
      <c r="D61" s="374"/>
      <c r="E61" s="374"/>
      <c r="F61" s="374"/>
      <c r="G61" s="374"/>
      <c r="H61" s="374"/>
      <c r="I61" s="374"/>
    </row>
    <row r="62" spans="1:9" ht="14.25" x14ac:dyDescent="0.2">
      <c r="A62" s="374" t="s">
        <v>349</v>
      </c>
      <c r="B62" s="374"/>
      <c r="C62" s="374"/>
      <c r="D62" s="374"/>
      <c r="E62" s="374"/>
      <c r="F62" s="374"/>
      <c r="G62" s="374"/>
      <c r="H62" s="374"/>
      <c r="I62" s="374"/>
    </row>
    <row r="63" spans="1:9" ht="14.25" x14ac:dyDescent="0.2">
      <c r="A63" s="374"/>
      <c r="B63" s="374"/>
      <c r="C63" s="374"/>
      <c r="D63" s="374"/>
      <c r="E63" s="374"/>
      <c r="F63" s="374"/>
      <c r="G63" s="374"/>
      <c r="H63" s="374"/>
      <c r="I63" s="374"/>
    </row>
    <row r="64" spans="1:9" ht="14.25" x14ac:dyDescent="0.2">
      <c r="A64" s="374" t="s">
        <v>350</v>
      </c>
      <c r="B64" s="374"/>
      <c r="C64" s="374"/>
      <c r="D64" s="374"/>
      <c r="E64" s="374"/>
      <c r="F64" s="374"/>
      <c r="G64" s="374"/>
      <c r="H64" s="374"/>
      <c r="I64" s="374"/>
    </row>
    <row r="65" spans="1:9" ht="14.25" x14ac:dyDescent="0.2">
      <c r="A65" s="374" t="s">
        <v>351</v>
      </c>
      <c r="B65" s="374"/>
      <c r="C65" s="374"/>
      <c r="D65" s="374"/>
      <c r="E65" s="374"/>
      <c r="F65" s="374"/>
      <c r="G65" s="374"/>
      <c r="H65" s="374"/>
      <c r="I65" s="374"/>
    </row>
    <row r="66" spans="1:9" ht="14.25" x14ac:dyDescent="0.2">
      <c r="A66" s="374" t="s">
        <v>352</v>
      </c>
      <c r="B66" s="374"/>
      <c r="C66" s="374"/>
      <c r="D66" s="374"/>
      <c r="E66" s="374"/>
      <c r="F66" s="374"/>
      <c r="G66" s="374"/>
      <c r="H66" s="374"/>
      <c r="I66" s="374"/>
    </row>
    <row r="67" spans="1:9" ht="14.25" x14ac:dyDescent="0.2">
      <c r="A67" s="374"/>
      <c r="B67" s="374"/>
      <c r="C67" s="374"/>
      <c r="D67" s="374"/>
      <c r="E67" s="374"/>
      <c r="F67" s="374"/>
      <c r="G67" s="374"/>
      <c r="H67" s="374"/>
      <c r="I67" s="374"/>
    </row>
    <row r="68" spans="1:9" ht="14.25" x14ac:dyDescent="0.2">
      <c r="A68" s="374" t="s">
        <v>353</v>
      </c>
      <c r="B68" s="374"/>
      <c r="C68" s="374"/>
      <c r="D68" s="374"/>
      <c r="E68" s="374"/>
      <c r="F68" s="374"/>
      <c r="G68" s="374"/>
      <c r="H68" s="374"/>
      <c r="I68" s="374"/>
    </row>
    <row r="69" spans="1:9" ht="14.25" x14ac:dyDescent="0.2">
      <c r="A69" s="374" t="s">
        <v>354</v>
      </c>
      <c r="B69" s="374"/>
      <c r="C69" s="374"/>
      <c r="D69" s="374"/>
      <c r="E69" s="374"/>
      <c r="F69" s="374"/>
      <c r="G69" s="374"/>
      <c r="H69" s="374"/>
      <c r="I69" s="374"/>
    </row>
    <row r="70" spans="1:9" ht="14.25" x14ac:dyDescent="0.2">
      <c r="A70" s="374" t="s">
        <v>355</v>
      </c>
      <c r="B70" s="374"/>
      <c r="C70" s="374"/>
      <c r="D70" s="374"/>
      <c r="E70" s="374"/>
      <c r="F70" s="374"/>
      <c r="G70" s="374"/>
      <c r="H70" s="374"/>
      <c r="I70" s="374"/>
    </row>
    <row r="71" spans="1:9" ht="14.25" x14ac:dyDescent="0.2">
      <c r="A71" s="374" t="s">
        <v>356</v>
      </c>
      <c r="B71" s="374"/>
      <c r="C71" s="374"/>
      <c r="D71" s="374"/>
      <c r="E71" s="374"/>
      <c r="F71" s="374"/>
      <c r="G71" s="374"/>
      <c r="H71" s="374"/>
      <c r="I71" s="374"/>
    </row>
    <row r="72" spans="1:9" ht="14.25" x14ac:dyDescent="0.2">
      <c r="A72" s="374" t="s">
        <v>357</v>
      </c>
      <c r="B72" s="374"/>
      <c r="C72" s="374"/>
      <c r="D72" s="374"/>
      <c r="E72" s="374"/>
      <c r="F72" s="374"/>
      <c r="G72" s="374"/>
      <c r="H72" s="374"/>
      <c r="I72" s="374"/>
    </row>
    <row r="73" spans="1:9" ht="14.25" x14ac:dyDescent="0.2">
      <c r="A73" s="374" t="s">
        <v>358</v>
      </c>
      <c r="B73" s="374"/>
      <c r="C73" s="374"/>
      <c r="D73" s="374"/>
      <c r="E73" s="374"/>
      <c r="F73" s="374"/>
      <c r="G73" s="374"/>
      <c r="H73" s="374"/>
      <c r="I73" s="374"/>
    </row>
    <row r="74" spans="1:9" ht="14.25" x14ac:dyDescent="0.2">
      <c r="A74" s="374"/>
      <c r="B74" s="374"/>
      <c r="C74" s="374"/>
      <c r="D74" s="374"/>
      <c r="E74" s="374"/>
      <c r="F74" s="374"/>
      <c r="G74" s="374"/>
      <c r="H74" s="374"/>
      <c r="I74" s="374"/>
    </row>
    <row r="75" spans="1:9" ht="14.25" x14ac:dyDescent="0.2">
      <c r="A75" s="374" t="s">
        <v>359</v>
      </c>
      <c r="B75" s="374"/>
      <c r="C75" s="374"/>
      <c r="D75" s="374"/>
      <c r="E75" s="374"/>
      <c r="F75" s="374"/>
      <c r="G75" s="374"/>
      <c r="H75" s="374"/>
      <c r="I75" s="374"/>
    </row>
    <row r="76" spans="1:9" ht="14.25" x14ac:dyDescent="0.2">
      <c r="A76" s="374" t="s">
        <v>360</v>
      </c>
      <c r="B76" s="374"/>
      <c r="C76" s="374"/>
      <c r="D76" s="374"/>
      <c r="E76" s="374"/>
      <c r="F76" s="374"/>
      <c r="G76" s="374"/>
      <c r="H76" s="374"/>
      <c r="I76" s="374"/>
    </row>
    <row r="77" spans="1:9" ht="14.25" x14ac:dyDescent="0.2">
      <c r="A77" s="374"/>
      <c r="B77" s="374"/>
      <c r="C77" s="374"/>
      <c r="D77" s="374"/>
      <c r="E77" s="374"/>
      <c r="F77" s="374"/>
      <c r="G77" s="374"/>
      <c r="H77" s="374"/>
      <c r="I77" s="374"/>
    </row>
    <row r="78" spans="1:9" ht="14.25" x14ac:dyDescent="0.2">
      <c r="A78" s="374" t="s">
        <v>361</v>
      </c>
      <c r="B78" s="374"/>
      <c r="C78" s="374"/>
      <c r="D78" s="374"/>
      <c r="E78" s="374"/>
      <c r="F78" s="374"/>
      <c r="G78" s="374"/>
      <c r="H78" s="374"/>
      <c r="I78" s="374"/>
    </row>
    <row r="79" spans="1:9" ht="14.25" x14ac:dyDescent="0.2">
      <c r="A79" s="374" t="s">
        <v>362</v>
      </c>
      <c r="B79" s="374"/>
      <c r="C79" s="374"/>
      <c r="D79" s="374"/>
      <c r="E79" s="374"/>
      <c r="F79" s="374"/>
      <c r="G79" s="374"/>
      <c r="H79" s="374"/>
      <c r="I79" s="374"/>
    </row>
    <row r="80" spans="1:9" ht="14.25" x14ac:dyDescent="0.2">
      <c r="A80" s="374" t="s">
        <v>363</v>
      </c>
      <c r="B80" s="374"/>
      <c r="C80" s="374"/>
      <c r="D80" s="374"/>
      <c r="E80" s="374"/>
      <c r="F80" s="374"/>
      <c r="G80" s="374"/>
      <c r="H80" s="374"/>
      <c r="I80" s="374"/>
    </row>
    <row r="81" spans="1:9" ht="14.25" x14ac:dyDescent="0.2">
      <c r="A81" s="374"/>
      <c r="B81" s="374"/>
      <c r="C81" s="374"/>
      <c r="D81" s="374"/>
      <c r="E81" s="374"/>
      <c r="F81" s="374"/>
      <c r="G81" s="374"/>
      <c r="H81" s="374"/>
      <c r="I81" s="374"/>
    </row>
    <row r="82" spans="1:9" ht="14.25" x14ac:dyDescent="0.2">
      <c r="A82" s="374"/>
      <c r="B82" s="374"/>
      <c r="C82" s="374"/>
      <c r="D82" s="374"/>
      <c r="E82" s="374"/>
      <c r="F82" s="374"/>
      <c r="G82" s="374"/>
      <c r="H82" s="374"/>
      <c r="I82" s="374"/>
    </row>
    <row r="83" spans="1:9" ht="14.25" x14ac:dyDescent="0.2">
      <c r="B83" s="374"/>
      <c r="C83" s="374"/>
      <c r="D83" s="374"/>
      <c r="E83" s="374"/>
      <c r="F83" s="374"/>
      <c r="G83" s="374"/>
      <c r="H83" s="374"/>
      <c r="I83" s="374"/>
    </row>
  </sheetData>
  <mergeCells count="17">
    <mergeCell ref="A50:D50"/>
    <mergeCell ref="A51:D51"/>
    <mergeCell ref="A52:D52"/>
    <mergeCell ref="A33:E33"/>
    <mergeCell ref="F33:G33"/>
    <mergeCell ref="F34:G34"/>
    <mergeCell ref="A43:I43"/>
    <mergeCell ref="A49:D49"/>
    <mergeCell ref="A3:I3"/>
    <mergeCell ref="F23:G23"/>
    <mergeCell ref="F24:G24"/>
    <mergeCell ref="F29:G29"/>
    <mergeCell ref="F30:G30"/>
    <mergeCell ref="F25:G25"/>
    <mergeCell ref="F26:G26"/>
    <mergeCell ref="F27:G27"/>
    <mergeCell ref="F28:G28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H44" sqref="H44"/>
    </sheetView>
  </sheetViews>
  <sheetFormatPr defaultColWidth="9.140625" defaultRowHeight="12.75" x14ac:dyDescent="0.2"/>
  <cols>
    <col min="1" max="1" width="70.42578125" style="333" customWidth="1"/>
    <col min="2" max="3" width="9.140625" style="333"/>
    <col min="4" max="4" width="12.85546875" style="333" bestFit="1" customWidth="1"/>
    <col min="5" max="16384" width="9.140625" style="333"/>
  </cols>
  <sheetData>
    <row r="1" spans="1:1" ht="18" x14ac:dyDescent="0.25">
      <c r="A1" s="369" t="s">
        <v>305</v>
      </c>
    </row>
    <row r="2" spans="1:1" x14ac:dyDescent="0.2">
      <c r="A2" s="370"/>
    </row>
    <row r="3" spans="1:1" x14ac:dyDescent="0.2">
      <c r="A3" s="370" t="s">
        <v>306</v>
      </c>
    </row>
    <row r="4" spans="1:1" x14ac:dyDescent="0.2">
      <c r="A4" s="370"/>
    </row>
    <row r="5" spans="1:1" x14ac:dyDescent="0.2">
      <c r="A5" s="370"/>
    </row>
    <row r="6" spans="1:1" x14ac:dyDescent="0.2">
      <c r="A6" s="370"/>
    </row>
    <row r="7" spans="1:1" x14ac:dyDescent="0.2">
      <c r="A7" s="370"/>
    </row>
    <row r="8" spans="1:1" x14ac:dyDescent="0.2">
      <c r="A8" s="370"/>
    </row>
    <row r="9" spans="1:1" x14ac:dyDescent="0.2">
      <c r="A9" s="370"/>
    </row>
    <row r="10" spans="1:1" x14ac:dyDescent="0.2">
      <c r="A10" s="370"/>
    </row>
    <row r="11" spans="1:1" x14ac:dyDescent="0.2">
      <c r="A11" s="370"/>
    </row>
    <row r="12" spans="1:1" ht="19.5" x14ac:dyDescent="0.35">
      <c r="A12" s="371" t="s">
        <v>307</v>
      </c>
    </row>
    <row r="13" spans="1:1" ht="15" x14ac:dyDescent="0.2">
      <c r="A13" s="371" t="s">
        <v>308</v>
      </c>
    </row>
    <row r="14" spans="1:1" ht="15" x14ac:dyDescent="0.2">
      <c r="A14" s="371" t="s">
        <v>309</v>
      </c>
    </row>
    <row r="15" spans="1:1" ht="19.5" x14ac:dyDescent="0.35">
      <c r="A15" s="371" t="s">
        <v>310</v>
      </c>
    </row>
    <row r="16" spans="1:1" ht="19.5" x14ac:dyDescent="0.35">
      <c r="A16" s="371" t="s">
        <v>311</v>
      </c>
    </row>
    <row r="17" spans="1:1" ht="15.75" thickBot="1" x14ac:dyDescent="0.25">
      <c r="A17" s="372" t="s">
        <v>312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workbookViewId="0">
      <selection activeCell="F28" sqref="F28"/>
    </sheetView>
  </sheetViews>
  <sheetFormatPr defaultColWidth="9.140625"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466" t="s">
        <v>209</v>
      </c>
      <c r="B1" s="467"/>
    </row>
    <row r="2" spans="1:2" s="100" customFormat="1" ht="19.5" customHeight="1" x14ac:dyDescent="0.2">
      <c r="A2" s="245" t="s">
        <v>189</v>
      </c>
      <c r="B2" s="246" t="s">
        <v>252</v>
      </c>
    </row>
    <row r="3" spans="1:2" ht="19.5" customHeight="1" x14ac:dyDescent="0.2">
      <c r="A3" s="155">
        <v>1</v>
      </c>
      <c r="B3" s="154">
        <v>33.629999999999995</v>
      </c>
    </row>
    <row r="4" spans="1:2" ht="19.5" customHeight="1" x14ac:dyDescent="0.2">
      <c r="A4" s="155">
        <v>2</v>
      </c>
      <c r="B4" s="154">
        <v>43.13</v>
      </c>
    </row>
    <row r="5" spans="1:2" ht="19.5" customHeight="1" x14ac:dyDescent="0.2">
      <c r="A5" s="155">
        <v>3</v>
      </c>
      <c r="B5" s="154">
        <v>48.68</v>
      </c>
    </row>
    <row r="6" spans="1:2" ht="19.5" customHeight="1" x14ac:dyDescent="0.2">
      <c r="A6" s="155">
        <v>4</v>
      </c>
      <c r="B6" s="154">
        <v>52.62</v>
      </c>
    </row>
    <row r="7" spans="1:2" ht="19.5" customHeight="1" x14ac:dyDescent="0.2">
      <c r="A7" s="155">
        <v>5</v>
      </c>
      <c r="B7" s="154">
        <v>55.679999999999993</v>
      </c>
    </row>
    <row r="8" spans="1:2" ht="19.5" customHeight="1" x14ac:dyDescent="0.2">
      <c r="A8" s="155">
        <v>6</v>
      </c>
      <c r="B8" s="154">
        <v>58.18</v>
      </c>
    </row>
    <row r="9" spans="1:2" ht="19.5" customHeight="1" x14ac:dyDescent="0.2">
      <c r="A9" s="155">
        <v>7</v>
      </c>
      <c r="B9" s="154">
        <v>60.29</v>
      </c>
    </row>
    <row r="10" spans="1:2" ht="19.5" customHeight="1" x14ac:dyDescent="0.2">
      <c r="A10" s="155">
        <v>8</v>
      </c>
      <c r="B10" s="154">
        <v>62.12</v>
      </c>
    </row>
    <row r="11" spans="1:2" ht="19.5" customHeight="1" x14ac:dyDescent="0.2">
      <c r="A11" s="155">
        <v>9</v>
      </c>
      <c r="B11" s="154">
        <v>63.73</v>
      </c>
    </row>
    <row r="12" spans="1:2" ht="19.5" customHeight="1" x14ac:dyDescent="0.2">
      <c r="A12" s="155">
        <v>10</v>
      </c>
      <c r="B12" s="154">
        <v>65.180000000000007</v>
      </c>
    </row>
    <row r="13" spans="1:2" ht="19.5" customHeight="1" x14ac:dyDescent="0.2">
      <c r="A13" s="155">
        <v>11</v>
      </c>
      <c r="B13" s="154">
        <v>66.47999999999999</v>
      </c>
    </row>
    <row r="14" spans="1:2" ht="19.5" customHeight="1" x14ac:dyDescent="0.2">
      <c r="A14" s="155">
        <v>12</v>
      </c>
      <c r="B14" s="154">
        <v>67.67</v>
      </c>
    </row>
    <row r="15" spans="1:2" ht="19.5" customHeight="1" x14ac:dyDescent="0.2">
      <c r="A15" s="155">
        <v>13</v>
      </c>
      <c r="B15" s="154">
        <v>68.77</v>
      </c>
    </row>
    <row r="16" spans="1:2" ht="19.5" customHeight="1" x14ac:dyDescent="0.2">
      <c r="A16" s="155">
        <v>14</v>
      </c>
      <c r="B16" s="154">
        <v>69.789999999999992</v>
      </c>
    </row>
    <row r="17" spans="1:2" ht="19.5" customHeight="1" thickBot="1" x14ac:dyDescent="0.25">
      <c r="A17" s="156">
        <v>15</v>
      </c>
      <c r="B17" s="157">
        <v>70.73</v>
      </c>
    </row>
    <row r="21" spans="1:2" ht="19.5" customHeight="1" x14ac:dyDescent="0.2">
      <c r="A21" s="147"/>
    </row>
    <row r="22" spans="1:2" ht="19.5" customHeight="1" x14ac:dyDescent="0.2">
      <c r="A22" s="147"/>
    </row>
    <row r="23" spans="1:2" ht="19.5" customHeight="1" x14ac:dyDescent="0.2">
      <c r="A23" s="147"/>
    </row>
    <row r="24" spans="1:2" ht="19.5" customHeight="1" x14ac:dyDescent="0.2">
      <c r="A24" s="147"/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"/>
  <sheetViews>
    <sheetView showGridLines="0" workbookViewId="0">
      <selection activeCell="U19" sqref="U19"/>
    </sheetView>
  </sheetViews>
  <sheetFormatPr defaultRowHeight="12.75" x14ac:dyDescent="0.2"/>
  <cols>
    <col min="1" max="1" width="4.7109375" customWidth="1"/>
    <col min="2" max="2" width="10.5703125" bestFit="1" customWidth="1"/>
    <col min="3" max="3" width="21.140625" bestFit="1" customWidth="1"/>
    <col min="4" max="4" width="9.140625" style="113"/>
  </cols>
  <sheetData>
    <row r="3" spans="2:9" x14ac:dyDescent="0.2">
      <c r="B3" s="291" t="s">
        <v>277</v>
      </c>
      <c r="C3" s="291" t="s">
        <v>278</v>
      </c>
      <c r="D3" s="296" t="s">
        <v>279</v>
      </c>
      <c r="E3" s="292" t="s">
        <v>270</v>
      </c>
      <c r="F3" s="292" t="s">
        <v>271</v>
      </c>
      <c r="G3" s="292" t="s">
        <v>272</v>
      </c>
      <c r="H3" s="292" t="s">
        <v>273</v>
      </c>
      <c r="I3" s="292" t="s">
        <v>274</v>
      </c>
    </row>
    <row r="4" spans="2:9" x14ac:dyDescent="0.2">
      <c r="B4" s="294">
        <v>1</v>
      </c>
      <c r="C4" s="293" t="s">
        <v>283</v>
      </c>
      <c r="D4" s="293" t="s">
        <v>275</v>
      </c>
      <c r="E4" s="295" t="s">
        <v>276</v>
      </c>
      <c r="F4" s="295"/>
      <c r="G4" s="295" t="s">
        <v>276</v>
      </c>
      <c r="H4" s="295"/>
      <c r="I4" s="295" t="s">
        <v>276</v>
      </c>
    </row>
    <row r="5" spans="2:9" x14ac:dyDescent="0.2">
      <c r="B5" s="294">
        <v>1</v>
      </c>
      <c r="C5" s="293" t="s">
        <v>284</v>
      </c>
      <c r="D5" s="293" t="s">
        <v>275</v>
      </c>
      <c r="E5" s="96"/>
      <c r="F5" s="96" t="s">
        <v>276</v>
      </c>
      <c r="G5" s="96"/>
      <c r="H5" s="96" t="s">
        <v>276</v>
      </c>
      <c r="I5" s="96"/>
    </row>
    <row r="6" spans="2:9" x14ac:dyDescent="0.2">
      <c r="B6" s="294">
        <v>1</v>
      </c>
      <c r="C6" s="293" t="s">
        <v>285</v>
      </c>
      <c r="D6" s="293" t="s">
        <v>275</v>
      </c>
      <c r="E6" s="96" t="s">
        <v>276</v>
      </c>
      <c r="F6" s="96" t="s">
        <v>276</v>
      </c>
      <c r="G6" s="96" t="s">
        <v>276</v>
      </c>
      <c r="H6" s="96" t="s">
        <v>276</v>
      </c>
      <c r="I6" s="96" t="s">
        <v>276</v>
      </c>
    </row>
    <row r="7" spans="2:9" x14ac:dyDescent="0.2">
      <c r="B7" s="294">
        <v>1</v>
      </c>
      <c r="C7" s="293" t="s">
        <v>286</v>
      </c>
      <c r="D7" s="293" t="s">
        <v>275</v>
      </c>
      <c r="E7" s="96"/>
      <c r="F7" s="96"/>
      <c r="G7" s="96" t="s">
        <v>276</v>
      </c>
      <c r="H7" s="96"/>
      <c r="I7" s="96"/>
    </row>
    <row r="8" spans="2:9" x14ac:dyDescent="0.2">
      <c r="B8" s="294">
        <v>1</v>
      </c>
      <c r="C8" s="293" t="s">
        <v>287</v>
      </c>
      <c r="D8" s="293" t="s">
        <v>275</v>
      </c>
      <c r="E8" s="96"/>
      <c r="F8" s="96"/>
      <c r="G8" s="96"/>
      <c r="H8" s="96" t="s">
        <v>276</v>
      </c>
      <c r="I8" s="96"/>
    </row>
    <row r="9" spans="2:9" x14ac:dyDescent="0.2">
      <c r="B9" s="294">
        <v>1</v>
      </c>
      <c r="C9" s="293" t="s">
        <v>288</v>
      </c>
      <c r="D9" s="293" t="s">
        <v>275</v>
      </c>
      <c r="E9" s="96"/>
      <c r="F9" s="96"/>
      <c r="G9" s="96"/>
      <c r="H9" s="96" t="s">
        <v>276</v>
      </c>
      <c r="I9" s="96"/>
    </row>
    <row r="10" spans="2:9" x14ac:dyDescent="0.2">
      <c r="B10" s="294">
        <v>1</v>
      </c>
      <c r="C10" s="293" t="s">
        <v>289</v>
      </c>
      <c r="D10" s="293" t="s">
        <v>275</v>
      </c>
      <c r="E10" s="96" t="s">
        <v>276</v>
      </c>
      <c r="F10" s="96"/>
      <c r="G10" s="96"/>
      <c r="H10" s="96"/>
      <c r="I10" s="96"/>
    </row>
    <row r="11" spans="2:9" x14ac:dyDescent="0.2">
      <c r="B11" s="294">
        <v>1</v>
      </c>
      <c r="C11" s="293" t="s">
        <v>290</v>
      </c>
      <c r="D11" s="293" t="s">
        <v>275</v>
      </c>
      <c r="E11" s="96" t="s">
        <v>276</v>
      </c>
      <c r="F11" s="96"/>
      <c r="G11" s="96"/>
      <c r="H11" s="96"/>
      <c r="I11" s="96"/>
    </row>
    <row r="12" spans="2:9" x14ac:dyDescent="0.2">
      <c r="B12" s="294">
        <v>1</v>
      </c>
      <c r="C12" s="293" t="s">
        <v>291</v>
      </c>
      <c r="D12" s="293" t="s">
        <v>275</v>
      </c>
      <c r="E12" s="96" t="s">
        <v>276</v>
      </c>
      <c r="F12" s="96" t="s">
        <v>276</v>
      </c>
      <c r="G12" s="96" t="s">
        <v>276</v>
      </c>
      <c r="H12" s="96" t="s">
        <v>276</v>
      </c>
      <c r="I12" s="96" t="s">
        <v>276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showGridLines="0" zoomScaleNormal="100" workbookViewId="0">
      <selection activeCell="C19" sqref="C19"/>
    </sheetView>
  </sheetViews>
  <sheetFormatPr defaultColWidth="9.140625" defaultRowHeight="12.75" x14ac:dyDescent="0.2"/>
  <cols>
    <col min="1" max="1" width="58.28515625" style="257" customWidth="1"/>
    <col min="2" max="2" width="11.140625" style="257" bestFit="1" customWidth="1"/>
    <col min="3" max="3" width="11.28515625" style="257" bestFit="1" customWidth="1"/>
    <col min="4" max="9" width="9.140625" style="257"/>
    <col min="10" max="10" width="26.5703125" style="257" bestFit="1" customWidth="1"/>
    <col min="11" max="16384" width="9.140625" style="257"/>
  </cols>
  <sheetData>
    <row r="1" spans="1:7" s="4" customFormat="1" ht="15.6" customHeight="1" x14ac:dyDescent="0.2">
      <c r="A1" s="281"/>
      <c r="B1" s="129"/>
      <c r="C1" s="129"/>
      <c r="D1" s="129"/>
      <c r="E1" s="129"/>
      <c r="F1" s="129"/>
      <c r="G1" s="6"/>
    </row>
    <row r="2" spans="1:7" s="4" customFormat="1" ht="16.5" customHeight="1" x14ac:dyDescent="0.2">
      <c r="A2" s="281"/>
      <c r="B2" s="5"/>
      <c r="C2" s="5"/>
      <c r="D2" s="6"/>
      <c r="E2" s="6"/>
      <c r="F2" s="6"/>
      <c r="G2" s="6"/>
    </row>
    <row r="3" spans="1:7" ht="13.5" thickBot="1" x14ac:dyDescent="0.25"/>
    <row r="4" spans="1:7" ht="18" x14ac:dyDescent="0.25">
      <c r="A4" s="429" t="s">
        <v>281</v>
      </c>
      <c r="B4" s="430"/>
      <c r="C4" s="431"/>
    </row>
    <row r="5" spans="1:7" s="262" customFormat="1" ht="18" x14ac:dyDescent="0.25">
      <c r="A5" s="276"/>
      <c r="B5" s="275"/>
      <c r="C5" s="277"/>
    </row>
    <row r="6" spans="1:7" s="100" customFormat="1" ht="15" x14ac:dyDescent="0.25">
      <c r="A6" s="263" t="s">
        <v>249</v>
      </c>
      <c r="B6" s="264" t="s">
        <v>230</v>
      </c>
      <c r="C6" s="265" t="s">
        <v>128</v>
      </c>
    </row>
    <row r="7" spans="1:7" ht="14.25" x14ac:dyDescent="0.2">
      <c r="A7" s="266" t="s">
        <v>238</v>
      </c>
      <c r="B7" s="267" t="s">
        <v>231</v>
      </c>
      <c r="C7" s="297">
        <v>8136</v>
      </c>
    </row>
    <row r="8" spans="1:7" ht="14.25" x14ac:dyDescent="0.2">
      <c r="A8" s="193" t="s">
        <v>239</v>
      </c>
      <c r="B8" s="268" t="s">
        <v>236</v>
      </c>
      <c r="C8" s="298">
        <v>0.63</v>
      </c>
    </row>
    <row r="9" spans="1:7" ht="14.25" x14ac:dyDescent="0.2">
      <c r="A9" s="193" t="s">
        <v>240</v>
      </c>
      <c r="B9" s="268" t="s">
        <v>237</v>
      </c>
      <c r="C9" s="269">
        <f>C7*C8/1000</f>
        <v>5.12568</v>
      </c>
    </row>
    <row r="10" spans="1:7" ht="14.25" x14ac:dyDescent="0.2">
      <c r="A10" s="193" t="s">
        <v>246</v>
      </c>
      <c r="B10" s="268" t="s">
        <v>232</v>
      </c>
      <c r="C10" s="270">
        <f>(C9*30)</f>
        <v>153.7704</v>
      </c>
    </row>
    <row r="11" spans="1:7" ht="14.25" x14ac:dyDescent="0.2">
      <c r="A11" s="193" t="s">
        <v>242</v>
      </c>
      <c r="B11" s="268" t="s">
        <v>86</v>
      </c>
      <c r="C11" s="273">
        <v>5</v>
      </c>
    </row>
    <row r="12" spans="1:7" ht="14.25" x14ac:dyDescent="0.2">
      <c r="A12" s="193" t="s">
        <v>241</v>
      </c>
      <c r="B12" s="268" t="s">
        <v>237</v>
      </c>
      <c r="C12" s="269">
        <f>IFERROR(C9*7/C11,0)</f>
        <v>7.1759519999999997</v>
      </c>
    </row>
    <row r="13" spans="1:7" ht="14.25" x14ac:dyDescent="0.2">
      <c r="A13" s="266" t="s">
        <v>233</v>
      </c>
      <c r="B13" s="268" t="s">
        <v>234</v>
      </c>
      <c r="C13" s="216">
        <v>500</v>
      </c>
    </row>
    <row r="14" spans="1:7" ht="14.25" x14ac:dyDescent="0.2">
      <c r="A14" s="193" t="s">
        <v>247</v>
      </c>
      <c r="B14" s="268"/>
      <c r="C14" s="194">
        <v>1</v>
      </c>
    </row>
    <row r="15" spans="1:7" ht="14.25" x14ac:dyDescent="0.2">
      <c r="A15" s="266" t="s">
        <v>248</v>
      </c>
      <c r="B15" s="268" t="s">
        <v>235</v>
      </c>
      <c r="C15" s="194">
        <v>10</v>
      </c>
    </row>
    <row r="16" spans="1:7" ht="14.25" x14ac:dyDescent="0.2">
      <c r="A16" s="193" t="s">
        <v>243</v>
      </c>
      <c r="B16" s="268" t="s">
        <v>232</v>
      </c>
      <c r="C16" s="216">
        <f>IF(AND(C15&gt;=15,C14=1),5.8,C15/2)</f>
        <v>5</v>
      </c>
    </row>
    <row r="17" spans="1:3" ht="14.25" x14ac:dyDescent="0.2">
      <c r="A17" s="266" t="s">
        <v>244</v>
      </c>
      <c r="B17" s="268"/>
      <c r="C17" s="269">
        <f>IFERROR(C12/C16,0)</f>
        <v>1.4351904</v>
      </c>
    </row>
    <row r="18" spans="1:3" ht="14.25" x14ac:dyDescent="0.2">
      <c r="A18" s="266" t="s">
        <v>250</v>
      </c>
      <c r="B18" s="268"/>
      <c r="C18" s="278">
        <v>1</v>
      </c>
    </row>
    <row r="19" spans="1:3" ht="15" thickBot="1" x14ac:dyDescent="0.25">
      <c r="A19" s="271" t="s">
        <v>245</v>
      </c>
      <c r="B19" s="272"/>
      <c r="C19" s="274">
        <f>IFERROR(C17/C18,0)</f>
        <v>1.4351904</v>
      </c>
    </row>
  </sheetData>
  <mergeCells count="1">
    <mergeCell ref="A4:C4"/>
  </mergeCells>
  <conditionalFormatting sqref="C16">
    <cfRule type="expression" dxfId="0" priority="3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7"/>
  <sheetViews>
    <sheetView tabSelected="1" view="pageBreakPreview" topLeftCell="A220" zoomScale="115" zoomScaleNormal="100" zoomScaleSheetLayoutView="115" workbookViewId="0">
      <selection activeCell="F253" sqref="F253"/>
    </sheetView>
  </sheetViews>
  <sheetFormatPr defaultColWidth="9.140625" defaultRowHeight="12.75" x14ac:dyDescent="0.2"/>
  <cols>
    <col min="1" max="1" width="44.5703125" style="9" customWidth="1"/>
    <col min="2" max="2" width="45.28515625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s="4" customFormat="1" ht="15.6" customHeight="1" x14ac:dyDescent="0.2">
      <c r="A1" s="280" t="s">
        <v>373</v>
      </c>
      <c r="C1" s="129"/>
      <c r="D1" s="129"/>
      <c r="E1" s="129"/>
      <c r="F1" s="129"/>
      <c r="G1" s="6"/>
    </row>
    <row r="2" spans="1:7" s="4" customFormat="1" ht="16.5" customHeight="1" thickBot="1" x14ac:dyDescent="0.25">
      <c r="A2" s="7"/>
      <c r="B2" s="5"/>
      <c r="C2" s="5"/>
      <c r="D2" s="6"/>
      <c r="E2" s="6"/>
      <c r="F2" s="6"/>
      <c r="G2" s="6"/>
    </row>
    <row r="3" spans="1:7" s="8" customFormat="1" ht="18" x14ac:dyDescent="0.2">
      <c r="A3" s="436" t="s">
        <v>282</v>
      </c>
      <c r="B3" s="437"/>
      <c r="C3" s="437"/>
      <c r="D3" s="437"/>
      <c r="E3" s="437"/>
      <c r="F3" s="438"/>
      <c r="G3" s="36"/>
    </row>
    <row r="4" spans="1:7" s="8" customFormat="1" ht="21.75" customHeight="1" x14ac:dyDescent="0.2">
      <c r="A4" s="439" t="s">
        <v>38</v>
      </c>
      <c r="B4" s="440"/>
      <c r="C4" s="440"/>
      <c r="D4" s="440"/>
      <c r="E4" s="440"/>
      <c r="F4" s="441"/>
      <c r="G4" s="36"/>
    </row>
    <row r="5" spans="1:7" s="4" customFormat="1" ht="10.9" customHeight="1" thickBot="1" x14ac:dyDescent="0.25">
      <c r="A5" s="140"/>
      <c r="B5" s="141"/>
      <c r="C5" s="141"/>
      <c r="D5" s="142"/>
      <c r="E5" s="142"/>
      <c r="F5" s="143"/>
      <c r="G5" s="6"/>
    </row>
    <row r="6" spans="1:7" s="4" customFormat="1" ht="15.75" customHeight="1" thickBot="1" x14ac:dyDescent="0.25">
      <c r="A6" s="445" t="s">
        <v>186</v>
      </c>
      <c r="B6" s="446"/>
      <c r="C6" s="446"/>
      <c r="D6" s="446"/>
      <c r="E6" s="446"/>
      <c r="F6" s="447"/>
      <c r="G6" s="6"/>
    </row>
    <row r="7" spans="1:7" s="4" customFormat="1" ht="15.75" customHeight="1" x14ac:dyDescent="0.2">
      <c r="A7" s="63" t="s">
        <v>185</v>
      </c>
      <c r="B7" s="39"/>
      <c r="C7" s="39"/>
      <c r="D7" s="239"/>
      <c r="E7" s="107" t="s">
        <v>33</v>
      </c>
      <c r="F7" s="40" t="s">
        <v>1</v>
      </c>
      <c r="G7" s="6"/>
    </row>
    <row r="8" spans="1:7" s="11" customFormat="1" ht="15.75" customHeight="1" x14ac:dyDescent="0.2">
      <c r="A8" s="116" t="str">
        <f>A38</f>
        <v>1. Mão-de-obra</v>
      </c>
      <c r="B8" s="117"/>
      <c r="C8" s="118"/>
      <c r="D8" s="118"/>
      <c r="E8" s="236">
        <f>+F93</f>
        <v>13849.220687999999</v>
      </c>
      <c r="F8" s="119">
        <f t="shared" ref="F8:F22" si="0">IFERROR(E8/$E$23,0)</f>
        <v>0.30003558321531404</v>
      </c>
      <c r="G8" s="43"/>
    </row>
    <row r="9" spans="1:7" s="4" customFormat="1" ht="15.75" customHeight="1" x14ac:dyDescent="0.2">
      <c r="A9" s="48" t="str">
        <f>A40</f>
        <v>1.1. Coletor</v>
      </c>
      <c r="B9" s="44"/>
      <c r="C9" s="46"/>
      <c r="D9" s="46"/>
      <c r="E9" s="237">
        <f>F48</f>
        <v>7379.9808835200001</v>
      </c>
      <c r="F9" s="57">
        <f t="shared" si="0"/>
        <v>0.15988313843705224</v>
      </c>
      <c r="G9" s="6"/>
    </row>
    <row r="10" spans="1:7" s="4" customFormat="1" ht="15.75" customHeight="1" x14ac:dyDescent="0.2">
      <c r="A10" s="48" t="str">
        <f>A51</f>
        <v xml:space="preserve">1.2. Motorista </v>
      </c>
      <c r="B10" s="44"/>
      <c r="C10" s="46"/>
      <c r="D10" s="46"/>
      <c r="E10" s="237">
        <f>F61</f>
        <v>4391.1398044799998</v>
      </c>
      <c r="F10" s="57">
        <f t="shared" si="0"/>
        <v>9.5131576129674628E-2</v>
      </c>
      <c r="G10" s="6"/>
    </row>
    <row r="11" spans="1:7" s="4" customFormat="1" ht="15.75" customHeight="1" x14ac:dyDescent="0.2">
      <c r="A11" s="48" t="str">
        <f>A63</f>
        <v>1.3. Auxílio Alimentação (mensal)</v>
      </c>
      <c r="B11" s="44"/>
      <c r="C11" s="46"/>
      <c r="D11" s="46"/>
      <c r="E11" s="237">
        <f>F67</f>
        <v>1323.6</v>
      </c>
      <c r="F11" s="57">
        <f t="shared" si="0"/>
        <v>2.8675050162778489E-2</v>
      </c>
      <c r="G11" s="6"/>
    </row>
    <row r="12" spans="1:7" s="11" customFormat="1" ht="15.75" customHeight="1" x14ac:dyDescent="0.2">
      <c r="A12" s="434" t="str">
        <f>A128</f>
        <v>2. Uniformes e Equipamentos de Proteção Individual</v>
      </c>
      <c r="B12" s="435"/>
      <c r="C12" s="435"/>
      <c r="D12" s="118"/>
      <c r="E12" s="236">
        <f>F126</f>
        <v>365.45666666666665</v>
      </c>
      <c r="F12" s="119">
        <f t="shared" si="0"/>
        <v>7.9174133038595381E-3</v>
      </c>
      <c r="G12" s="43"/>
    </row>
    <row r="13" spans="1:7" s="11" customFormat="1" ht="15.75" customHeight="1" x14ac:dyDescent="0.2">
      <c r="A13" s="127" t="str">
        <f>A162</f>
        <v>3. Veículos e Equipamentos</v>
      </c>
      <c r="B13" s="128"/>
      <c r="C13" s="118"/>
      <c r="D13" s="118"/>
      <c r="E13" s="236">
        <f>+F264</f>
        <v>20833.769715142691</v>
      </c>
      <c r="F13" s="119">
        <f t="shared" si="0"/>
        <v>0.45135191270889397</v>
      </c>
      <c r="G13" s="43"/>
    </row>
    <row r="14" spans="1:7" s="4" customFormat="1" ht="15.75" customHeight="1" x14ac:dyDescent="0.2">
      <c r="A14" s="64" t="str">
        <f>A164</f>
        <v>3.1. Veículo Coletor Compactador 10 m³</v>
      </c>
      <c r="B14" s="45"/>
      <c r="C14" s="46"/>
      <c r="D14" s="46"/>
      <c r="E14" s="237">
        <f>SUM(E15:E20)</f>
        <v>20812.951381809358</v>
      </c>
      <c r="F14" s="133">
        <f t="shared" si="0"/>
        <v>0.450900895216722</v>
      </c>
      <c r="G14" s="6"/>
    </row>
    <row r="15" spans="1:7" s="4" customFormat="1" ht="15.75" customHeight="1" x14ac:dyDescent="0.2">
      <c r="A15" s="64" t="str">
        <f>A166</f>
        <v>3.1.1. Depreciação</v>
      </c>
      <c r="B15" s="45"/>
      <c r="C15" s="46"/>
      <c r="D15" s="46"/>
      <c r="E15" s="237">
        <f>F180</f>
        <v>3558.7573883333339</v>
      </c>
      <c r="F15" s="133">
        <f t="shared" si="0"/>
        <v>7.7098478866437684E-2</v>
      </c>
      <c r="G15" s="6"/>
    </row>
    <row r="16" spans="1:7" s="4" customFormat="1" ht="15.75" customHeight="1" x14ac:dyDescent="0.2">
      <c r="A16" s="64" t="str">
        <f>A182</f>
        <v>3.1.2. Remuneração do Capital</v>
      </c>
      <c r="B16" s="45"/>
      <c r="C16" s="46"/>
      <c r="D16" s="46"/>
      <c r="E16" s="237">
        <f>F196</f>
        <v>5305.369907635416</v>
      </c>
      <c r="F16" s="133">
        <f t="shared" si="0"/>
        <v>0.11493785753516247</v>
      </c>
      <c r="G16" s="6"/>
    </row>
    <row r="17" spans="1:7" s="4" customFormat="1" ht="15.75" customHeight="1" x14ac:dyDescent="0.2">
      <c r="A17" s="64" t="str">
        <f>A198</f>
        <v>3.1.3. Impostos e Seguros</v>
      </c>
      <c r="B17" s="45"/>
      <c r="C17" s="46"/>
      <c r="D17" s="46"/>
      <c r="E17" s="237">
        <f>F204</f>
        <v>2597.9300000000003</v>
      </c>
      <c r="F17" s="133">
        <f t="shared" si="0"/>
        <v>5.6282693464329958E-2</v>
      </c>
      <c r="G17" s="6"/>
    </row>
    <row r="18" spans="1:7" s="4" customFormat="1" ht="15.75" customHeight="1" x14ac:dyDescent="0.2">
      <c r="A18" s="64" t="str">
        <f>A206</f>
        <v>3.1.4. Consumos</v>
      </c>
      <c r="B18" s="45"/>
      <c r="C18" s="46"/>
      <c r="D18" s="46"/>
      <c r="E18" s="237">
        <f>F239</f>
        <v>6078.4222047447156</v>
      </c>
      <c r="F18" s="133">
        <f t="shared" si="0"/>
        <v>0.13168560111181729</v>
      </c>
      <c r="G18" s="6"/>
    </row>
    <row r="19" spans="1:7" s="4" customFormat="1" ht="15.75" customHeight="1" x14ac:dyDescent="0.2">
      <c r="A19" s="64" t="str">
        <f>A241</f>
        <v>3.1.5. Manutenção</v>
      </c>
      <c r="B19" s="45"/>
      <c r="C19" s="46"/>
      <c r="D19" s="46"/>
      <c r="E19" s="237">
        <f>F244</f>
        <v>2444.8045999999999</v>
      </c>
      <c r="F19" s="133">
        <f t="shared" si="0"/>
        <v>5.2965317726799334E-2</v>
      </c>
      <c r="G19" s="6"/>
    </row>
    <row r="20" spans="1:7" s="4" customFormat="1" ht="15.75" customHeight="1" x14ac:dyDescent="0.2">
      <c r="A20" s="64" t="str">
        <f>A246</f>
        <v>3.1.6. Pneus</v>
      </c>
      <c r="B20" s="45"/>
      <c r="C20" s="46"/>
      <c r="D20" s="46"/>
      <c r="E20" s="237">
        <f>F253</f>
        <v>827.6672810958903</v>
      </c>
      <c r="F20" s="133">
        <f t="shared" si="0"/>
        <v>1.7930946512175236E-2</v>
      </c>
      <c r="G20" s="6"/>
    </row>
    <row r="21" spans="1:7" s="11" customFormat="1" ht="15.75" customHeight="1" x14ac:dyDescent="0.2">
      <c r="A21" s="127" t="str">
        <f>A266</f>
        <v>4. Ferramentas e Materiais de Consumo</v>
      </c>
      <c r="B21" s="128"/>
      <c r="C21" s="118"/>
      <c r="D21" s="118"/>
      <c r="E21" s="236">
        <f>+F261</f>
        <v>20.818333333333335</v>
      </c>
      <c r="F21" s="119">
        <f t="shared" si="0"/>
        <v>4.5101749217193787E-4</v>
      </c>
      <c r="G21" s="43"/>
    </row>
    <row r="22" spans="1:7" s="11" customFormat="1" ht="15.75" customHeight="1" thickBot="1" x14ac:dyDescent="0.25">
      <c r="A22" s="127" t="str">
        <f>A292</f>
        <v>5. Benefícios e Despesas Indiretas - BDI</v>
      </c>
      <c r="B22" s="128"/>
      <c r="C22" s="118"/>
      <c r="D22" s="118"/>
      <c r="E22" s="238">
        <f>+F298</f>
        <v>11089.328652887682</v>
      </c>
      <c r="F22" s="119">
        <f t="shared" si="0"/>
        <v>0.24024407327976058</v>
      </c>
      <c r="G22" s="43"/>
    </row>
    <row r="23" spans="1:7" s="4" customFormat="1" ht="15.75" customHeight="1" thickBot="1" x14ac:dyDescent="0.25">
      <c r="A23" s="41" t="s">
        <v>214</v>
      </c>
      <c r="B23" s="42"/>
      <c r="C23" s="26"/>
      <c r="D23" s="26"/>
      <c r="E23" s="106">
        <f>E8+E12+E13+E21+E22</f>
        <v>46158.594056030372</v>
      </c>
      <c r="F23" s="132">
        <f>F8+F12+F13+F21+F22</f>
        <v>1</v>
      </c>
      <c r="G23" s="6"/>
    </row>
    <row r="25" spans="1:7" ht="13.5" thickBot="1" x14ac:dyDescent="0.25"/>
    <row r="26" spans="1:7" s="4" customFormat="1" ht="15" customHeight="1" thickBot="1" x14ac:dyDescent="0.25">
      <c r="A26" s="445" t="s">
        <v>90</v>
      </c>
      <c r="B26" s="446"/>
      <c r="C26" s="446"/>
      <c r="D26" s="446"/>
      <c r="E26" s="447"/>
      <c r="F26" s="10"/>
      <c r="G26" s="6"/>
    </row>
    <row r="27" spans="1:7" s="4" customFormat="1" ht="15" customHeight="1" thickBot="1" x14ac:dyDescent="0.25">
      <c r="A27" s="442" t="s">
        <v>34</v>
      </c>
      <c r="B27" s="443"/>
      <c r="C27" s="443"/>
      <c r="D27" s="444"/>
      <c r="E27" s="47" t="s">
        <v>35</v>
      </c>
      <c r="F27" s="10"/>
      <c r="G27" s="6"/>
    </row>
    <row r="28" spans="1:7" s="4" customFormat="1" ht="15" customHeight="1" x14ac:dyDescent="0.2">
      <c r="A28" s="72" t="str">
        <f>+A40</f>
        <v>1.1. Coletor</v>
      </c>
      <c r="B28" s="73"/>
      <c r="C28" s="73"/>
      <c r="D28" s="74"/>
      <c r="E28" s="75">
        <f>C47</f>
        <v>2</v>
      </c>
      <c r="F28" s="10"/>
      <c r="G28" s="6"/>
    </row>
    <row r="29" spans="1:7" s="4" customFormat="1" ht="15" customHeight="1" x14ac:dyDescent="0.2">
      <c r="A29" s="66" t="str">
        <f>+A51</f>
        <v xml:space="preserve">1.2. Motorista </v>
      </c>
      <c r="B29" s="65"/>
      <c r="C29" s="65"/>
      <c r="D29" s="76"/>
      <c r="E29" s="69">
        <f>C60</f>
        <v>1</v>
      </c>
      <c r="F29" s="10"/>
      <c r="G29" s="6"/>
    </row>
    <row r="30" spans="1:7" s="4" customFormat="1" ht="15" customHeight="1" thickBot="1" x14ac:dyDescent="0.25">
      <c r="A30" s="70" t="s">
        <v>54</v>
      </c>
      <c r="B30" s="71"/>
      <c r="C30" s="71"/>
      <c r="D30" s="77"/>
      <c r="E30" s="78">
        <f>SUM(E28:E29)</f>
        <v>3</v>
      </c>
      <c r="F30" s="10"/>
      <c r="G30" s="6"/>
    </row>
    <row r="31" spans="1:7" s="4" customFormat="1" ht="15" customHeight="1" thickBot="1" x14ac:dyDescent="0.25">
      <c r="A31" s="120"/>
      <c r="B31" s="121"/>
      <c r="C31" s="58"/>
      <c r="D31" s="58"/>
      <c r="E31" s="122"/>
      <c r="F31" s="10"/>
      <c r="G31" s="6"/>
    </row>
    <row r="32" spans="1:7" s="4" customFormat="1" ht="15" customHeight="1" x14ac:dyDescent="0.2">
      <c r="A32" s="432" t="s">
        <v>51</v>
      </c>
      <c r="B32" s="433"/>
      <c r="C32" s="433"/>
      <c r="D32" s="433"/>
      <c r="E32" s="47" t="s">
        <v>35</v>
      </c>
      <c r="F32" s="9"/>
      <c r="G32" s="6"/>
    </row>
    <row r="33" spans="1:7" s="4" customFormat="1" ht="15" customHeight="1" thickBot="1" x14ac:dyDescent="0.25">
      <c r="A33" s="123" t="str">
        <f>+A164</f>
        <v>3.1. Veículo Coletor Compactador 10 m³</v>
      </c>
      <c r="B33" s="124"/>
      <c r="C33" s="124"/>
      <c r="D33" s="125"/>
      <c r="E33" s="126">
        <f>C179</f>
        <v>1</v>
      </c>
      <c r="F33" s="9"/>
      <c r="G33" s="6"/>
    </row>
    <row r="34" spans="1:7" s="4" customFormat="1" ht="15" customHeight="1" x14ac:dyDescent="0.2">
      <c r="A34" s="58"/>
      <c r="B34" s="58"/>
      <c r="C34" s="58"/>
      <c r="D34" s="53"/>
      <c r="E34" s="235"/>
      <c r="F34" s="9"/>
      <c r="G34" s="6"/>
    </row>
    <row r="35" spans="1:7" s="4" customFormat="1" ht="13.5" thickBot="1" x14ac:dyDescent="0.25">
      <c r="A35" s="58"/>
      <c r="B35" s="58"/>
      <c r="C35" s="58"/>
      <c r="D35" s="53"/>
      <c r="E35" s="67"/>
      <c r="F35" s="9"/>
      <c r="G35" s="6"/>
    </row>
    <row r="36" spans="1:7" s="11" customFormat="1" ht="15.75" customHeight="1" thickBot="1" x14ac:dyDescent="0.25">
      <c r="A36" s="240" t="s">
        <v>180</v>
      </c>
      <c r="B36" s="241">
        <v>1</v>
      </c>
      <c r="C36" s="35"/>
      <c r="D36" s="34"/>
      <c r="E36" s="145"/>
      <c r="G36" s="43"/>
    </row>
    <row r="37" spans="1:7" s="4" customFormat="1" ht="15.75" customHeight="1" x14ac:dyDescent="0.2">
      <c r="A37" s="58"/>
      <c r="B37" s="58"/>
      <c r="C37" s="58"/>
      <c r="D37" s="53"/>
      <c r="E37" s="67"/>
      <c r="F37" s="9"/>
      <c r="G37" s="6"/>
    </row>
    <row r="38" spans="1:7" ht="13.15" customHeight="1" x14ac:dyDescent="0.2">
      <c r="A38" s="11" t="s">
        <v>42</v>
      </c>
    </row>
    <row r="39" spans="1:7" ht="11.25" customHeight="1" x14ac:dyDescent="0.2"/>
    <row r="40" spans="1:7" ht="13.9" customHeight="1" thickBot="1" x14ac:dyDescent="0.25">
      <c r="A40" s="7" t="s">
        <v>292</v>
      </c>
    </row>
    <row r="41" spans="1:7" ht="13.9" customHeight="1" thickBot="1" x14ac:dyDescent="0.25">
      <c r="A41" s="59" t="s">
        <v>59</v>
      </c>
      <c r="B41" s="60" t="s">
        <v>60</v>
      </c>
      <c r="C41" s="60" t="s">
        <v>35</v>
      </c>
      <c r="D41" s="61" t="s">
        <v>210</v>
      </c>
      <c r="E41" s="61" t="s">
        <v>61</v>
      </c>
      <c r="F41" s="62" t="s">
        <v>62</v>
      </c>
    </row>
    <row r="42" spans="1:7" ht="13.15" customHeight="1" x14ac:dyDescent="0.2">
      <c r="A42" s="13" t="s">
        <v>195</v>
      </c>
      <c r="B42" s="14" t="s">
        <v>6</v>
      </c>
      <c r="C42" s="14">
        <v>1</v>
      </c>
      <c r="D42" s="86">
        <v>1635</v>
      </c>
      <c r="E42" s="15">
        <f>C42*D42</f>
        <v>1635</v>
      </c>
    </row>
    <row r="43" spans="1:7" x14ac:dyDescent="0.2">
      <c r="A43" s="16" t="s">
        <v>0</v>
      </c>
      <c r="B43" s="17" t="s">
        <v>1</v>
      </c>
      <c r="C43" s="17">
        <v>40</v>
      </c>
      <c r="D43" s="82">
        <v>1320</v>
      </c>
      <c r="E43" s="18">
        <f>C43*D43/100</f>
        <v>528</v>
      </c>
    </row>
    <row r="44" spans="1:7" x14ac:dyDescent="0.2">
      <c r="A44" s="108" t="s">
        <v>2</v>
      </c>
      <c r="B44" s="109"/>
      <c r="C44" s="109"/>
      <c r="D44" s="110"/>
      <c r="E44" s="111">
        <f>SUM(E42:E43)</f>
        <v>2163</v>
      </c>
    </row>
    <row r="45" spans="1:7" x14ac:dyDescent="0.2">
      <c r="A45" s="16" t="s">
        <v>3</v>
      </c>
      <c r="B45" s="17" t="s">
        <v>1</v>
      </c>
      <c r="C45" s="131">
        <f>'2.Encargos Sociais'!$C$37*100</f>
        <v>70.595951999999997</v>
      </c>
      <c r="D45" s="18">
        <f>E44</f>
        <v>2163</v>
      </c>
      <c r="E45" s="18">
        <f>D45*C45/100</f>
        <v>1526.9904417600001</v>
      </c>
    </row>
    <row r="46" spans="1:7" x14ac:dyDescent="0.2">
      <c r="A46" s="108" t="s">
        <v>68</v>
      </c>
      <c r="B46" s="109"/>
      <c r="C46" s="109"/>
      <c r="D46" s="110"/>
      <c r="E46" s="111">
        <f>E44+E45</f>
        <v>3689.9904417600001</v>
      </c>
    </row>
    <row r="47" spans="1:7" ht="13.5" thickBot="1" x14ac:dyDescent="0.25">
      <c r="A47" s="16" t="s">
        <v>4</v>
      </c>
      <c r="B47" s="17" t="s">
        <v>5</v>
      </c>
      <c r="C47" s="256">
        <v>2</v>
      </c>
      <c r="D47" s="18">
        <f>E46</f>
        <v>3689.9904417600001</v>
      </c>
      <c r="E47" s="18">
        <f>C47*D47</f>
        <v>7379.9808835200001</v>
      </c>
      <c r="G47" s="6"/>
    </row>
    <row r="48" spans="1:7" ht="13.9" customHeight="1" thickBot="1" x14ac:dyDescent="0.25">
      <c r="D48" s="114" t="s">
        <v>179</v>
      </c>
      <c r="E48" s="49">
        <f>$B$36</f>
        <v>1</v>
      </c>
      <c r="F48" s="115">
        <f>E47*E48</f>
        <v>7379.9808835200001</v>
      </c>
      <c r="G48" s="6"/>
    </row>
    <row r="49" spans="1:7" ht="11.25" customHeight="1" x14ac:dyDescent="0.2"/>
    <row r="50" spans="1:7" ht="11.25" customHeight="1" x14ac:dyDescent="0.2"/>
    <row r="51" spans="1:7" ht="13.5" thickBot="1" x14ac:dyDescent="0.25">
      <c r="A51" s="7" t="s">
        <v>293</v>
      </c>
    </row>
    <row r="52" spans="1:7" s="12" customFormat="1" ht="13.15" customHeight="1" thickBot="1" x14ac:dyDescent="0.25">
      <c r="A52" s="59" t="s">
        <v>59</v>
      </c>
      <c r="B52" s="60" t="s">
        <v>60</v>
      </c>
      <c r="C52" s="60" t="s">
        <v>35</v>
      </c>
      <c r="D52" s="61" t="s">
        <v>210</v>
      </c>
      <c r="E52" s="61" t="s">
        <v>61</v>
      </c>
      <c r="F52" s="62" t="s">
        <v>62</v>
      </c>
      <c r="G52" s="10"/>
    </row>
    <row r="53" spans="1:7" x14ac:dyDescent="0.2">
      <c r="A53" s="284" t="s">
        <v>255</v>
      </c>
      <c r="B53" s="14" t="s">
        <v>6</v>
      </c>
      <c r="C53" s="14">
        <v>1</v>
      </c>
      <c r="D53" s="86">
        <v>2046</v>
      </c>
      <c r="E53" s="15">
        <f>C53*D53</f>
        <v>2046</v>
      </c>
    </row>
    <row r="54" spans="1:7" x14ac:dyDescent="0.2">
      <c r="A54" s="284" t="s">
        <v>256</v>
      </c>
      <c r="B54" s="14" t="s">
        <v>6</v>
      </c>
      <c r="C54" s="14">
        <v>1</v>
      </c>
      <c r="D54" s="98">
        <v>1320</v>
      </c>
      <c r="E54" s="15"/>
    </row>
    <row r="55" spans="1:7" x14ac:dyDescent="0.2">
      <c r="A55" s="16" t="s">
        <v>196</v>
      </c>
      <c r="B55" s="17"/>
      <c r="C55" s="112">
        <v>1</v>
      </c>
      <c r="D55" s="18"/>
      <c r="E55" s="18"/>
    </row>
    <row r="56" spans="1:7" x14ac:dyDescent="0.2">
      <c r="A56" s="16" t="s">
        <v>0</v>
      </c>
      <c r="B56" s="17" t="s">
        <v>1</v>
      </c>
      <c r="C56" s="256">
        <v>40</v>
      </c>
      <c r="D56" s="82">
        <f>IF(C55=2,SUM(E53:E54),IF(C55=1,(SUM(E53:E54))*D54/D53,0))</f>
        <v>1320</v>
      </c>
      <c r="E56" s="18">
        <f>C56*D56/100</f>
        <v>528</v>
      </c>
    </row>
    <row r="57" spans="1:7" s="11" customFormat="1" x14ac:dyDescent="0.2">
      <c r="A57" s="95" t="s">
        <v>2</v>
      </c>
      <c r="B57" s="109"/>
      <c r="C57" s="109"/>
      <c r="D57" s="110"/>
      <c r="E57" s="97">
        <f>SUM(E53:E56)</f>
        <v>2574</v>
      </c>
      <c r="F57" s="43"/>
      <c r="G57" s="43"/>
    </row>
    <row r="58" spans="1:7" x14ac:dyDescent="0.2">
      <c r="A58" s="16" t="s">
        <v>3</v>
      </c>
      <c r="B58" s="17" t="s">
        <v>1</v>
      </c>
      <c r="C58" s="131">
        <f>'2.Encargos Sociais'!$C$37*100</f>
        <v>70.595951999999997</v>
      </c>
      <c r="D58" s="18">
        <f>E57</f>
        <v>2574</v>
      </c>
      <c r="E58" s="18">
        <f>D58*C58/100</f>
        <v>1817.1398044799998</v>
      </c>
    </row>
    <row r="59" spans="1:7" s="11" customFormat="1" x14ac:dyDescent="0.2">
      <c r="A59" s="95" t="s">
        <v>224</v>
      </c>
      <c r="B59" s="247"/>
      <c r="C59" s="247"/>
      <c r="D59" s="248"/>
      <c r="E59" s="97">
        <f>E57+E58</f>
        <v>4391.1398044799998</v>
      </c>
      <c r="F59" s="43"/>
      <c r="G59" s="43"/>
    </row>
    <row r="60" spans="1:7" ht="13.5" thickBot="1" x14ac:dyDescent="0.25">
      <c r="A60" s="16" t="s">
        <v>4</v>
      </c>
      <c r="B60" s="17" t="s">
        <v>5</v>
      </c>
      <c r="C60" s="256">
        <v>1</v>
      </c>
      <c r="D60" s="18">
        <f>E59</f>
        <v>4391.1398044799998</v>
      </c>
      <c r="E60" s="18">
        <f>C60*D60</f>
        <v>4391.1398044799998</v>
      </c>
    </row>
    <row r="61" spans="1:7" ht="13.5" thickBot="1" x14ac:dyDescent="0.25">
      <c r="D61" s="114" t="s">
        <v>179</v>
      </c>
      <c r="E61" s="49">
        <f>$B$36</f>
        <v>1</v>
      </c>
      <c r="F61" s="115">
        <f>E60*E61</f>
        <v>4391.1398044799998</v>
      </c>
    </row>
    <row r="62" spans="1:7" ht="11.25" customHeight="1" x14ac:dyDescent="0.2"/>
    <row r="63" spans="1:7" ht="13.5" thickBot="1" x14ac:dyDescent="0.25">
      <c r="A63" s="7" t="s">
        <v>294</v>
      </c>
      <c r="F63" s="23"/>
      <c r="G63" s="9"/>
    </row>
    <row r="64" spans="1:7" ht="13.5" thickBot="1" x14ac:dyDescent="0.25">
      <c r="A64" s="59" t="s">
        <v>59</v>
      </c>
      <c r="B64" s="60" t="s">
        <v>60</v>
      </c>
      <c r="C64" s="60" t="s">
        <v>35</v>
      </c>
      <c r="D64" s="61" t="s">
        <v>210</v>
      </c>
      <c r="E64" s="61" t="s">
        <v>61</v>
      </c>
      <c r="F64" s="62" t="s">
        <v>62</v>
      </c>
      <c r="G64" s="9"/>
    </row>
    <row r="65" spans="1:7" x14ac:dyDescent="0.2">
      <c r="A65" s="299" t="s">
        <v>69</v>
      </c>
      <c r="B65" s="17" t="s">
        <v>7</v>
      </c>
      <c r="C65" s="94">
        <v>2</v>
      </c>
      <c r="D65" s="89">
        <v>441.2</v>
      </c>
      <c r="E65" s="49">
        <f>C65*D65</f>
        <v>882.4</v>
      </c>
      <c r="F65" s="23"/>
      <c r="G65" s="9"/>
    </row>
    <row r="66" spans="1:7" ht="13.5" thickBot="1" x14ac:dyDescent="0.25">
      <c r="A66" s="299" t="s">
        <v>39</v>
      </c>
      <c r="B66" s="17" t="s">
        <v>7</v>
      </c>
      <c r="C66" s="94">
        <v>1</v>
      </c>
      <c r="D66" s="89">
        <v>441.2</v>
      </c>
      <c r="E66" s="49">
        <f>C66*D66</f>
        <v>441.2</v>
      </c>
      <c r="F66" s="23"/>
      <c r="G66" s="9"/>
    </row>
    <row r="67" spans="1:7" ht="13.5" thickBot="1" x14ac:dyDescent="0.25">
      <c r="D67" s="114" t="s">
        <v>179</v>
      </c>
      <c r="E67" s="49">
        <f>$B$36</f>
        <v>1</v>
      </c>
      <c r="F67" s="22">
        <f>SUM(E65:E66)*E67</f>
        <v>1323.6</v>
      </c>
      <c r="G67" s="9"/>
    </row>
    <row r="68" spans="1:7" x14ac:dyDescent="0.2">
      <c r="D68" s="114"/>
      <c r="E68" s="58"/>
      <c r="F68" s="23"/>
      <c r="G68" s="9"/>
    </row>
    <row r="69" spans="1:7" ht="13.5" thickBot="1" x14ac:dyDescent="0.25">
      <c r="A69" s="7" t="s">
        <v>295</v>
      </c>
      <c r="F69" s="23"/>
      <c r="G69" s="9"/>
    </row>
    <row r="70" spans="1:7" ht="13.5" thickBot="1" x14ac:dyDescent="0.25">
      <c r="A70" s="59" t="s">
        <v>59</v>
      </c>
      <c r="B70" s="60" t="s">
        <v>60</v>
      </c>
      <c r="C70" s="60" t="s">
        <v>35</v>
      </c>
      <c r="D70" s="61" t="s">
        <v>210</v>
      </c>
      <c r="E70" s="61" t="s">
        <v>61</v>
      </c>
      <c r="F70" s="62" t="s">
        <v>62</v>
      </c>
      <c r="G70" s="9"/>
    </row>
    <row r="71" spans="1:7" x14ac:dyDescent="0.2">
      <c r="A71" s="299" t="s">
        <v>69</v>
      </c>
      <c r="B71" s="17" t="s">
        <v>7</v>
      </c>
      <c r="C71" s="94">
        <v>2</v>
      </c>
      <c r="D71" s="89">
        <v>126</v>
      </c>
      <c r="E71" s="49">
        <f>C71*D71</f>
        <v>252</v>
      </c>
      <c r="F71" s="23"/>
      <c r="G71" s="9"/>
    </row>
    <row r="72" spans="1:7" ht="13.5" thickBot="1" x14ac:dyDescent="0.25">
      <c r="A72" s="299" t="s">
        <v>39</v>
      </c>
      <c r="B72" s="17" t="s">
        <v>7</v>
      </c>
      <c r="C72" s="94">
        <v>1</v>
      </c>
      <c r="D72" s="89">
        <v>126</v>
      </c>
      <c r="E72" s="49">
        <f>C72*D72</f>
        <v>126</v>
      </c>
      <c r="F72" s="23"/>
      <c r="G72" s="9"/>
    </row>
    <row r="73" spans="1:7" ht="13.5" thickBot="1" x14ac:dyDescent="0.25">
      <c r="D73" s="114" t="s">
        <v>179</v>
      </c>
      <c r="E73" s="49">
        <f>$B$36</f>
        <v>1</v>
      </c>
      <c r="F73" s="22">
        <f>SUM(E71:E72)*E73</f>
        <v>378</v>
      </c>
      <c r="G73" s="9"/>
    </row>
    <row r="74" spans="1:7" x14ac:dyDescent="0.2">
      <c r="D74" s="114"/>
      <c r="E74" s="58"/>
      <c r="F74" s="23"/>
      <c r="G74" s="9"/>
    </row>
    <row r="75" spans="1:7" ht="13.5" thickBot="1" x14ac:dyDescent="0.25">
      <c r="A75" s="7" t="s">
        <v>296</v>
      </c>
      <c r="F75" s="23"/>
      <c r="G75" s="9"/>
    </row>
    <row r="76" spans="1:7" ht="13.5" thickBot="1" x14ac:dyDescent="0.25">
      <c r="A76" s="59" t="s">
        <v>59</v>
      </c>
      <c r="B76" s="60" t="s">
        <v>60</v>
      </c>
      <c r="C76" s="60" t="s">
        <v>35</v>
      </c>
      <c r="D76" s="61" t="s">
        <v>210</v>
      </c>
      <c r="E76" s="61" t="s">
        <v>61</v>
      </c>
      <c r="F76" s="62" t="s">
        <v>62</v>
      </c>
      <c r="G76" s="9"/>
    </row>
    <row r="77" spans="1:7" x14ac:dyDescent="0.2">
      <c r="A77" s="299" t="s">
        <v>69</v>
      </c>
      <c r="B77" s="17" t="s">
        <v>7</v>
      </c>
      <c r="C77" s="94">
        <v>2</v>
      </c>
      <c r="D77" s="89">
        <v>75.5</v>
      </c>
      <c r="E77" s="49">
        <f>C77*D77</f>
        <v>151</v>
      </c>
      <c r="F77" s="23"/>
      <c r="G77" s="9"/>
    </row>
    <row r="78" spans="1:7" ht="13.5" thickBot="1" x14ac:dyDescent="0.25">
      <c r="A78" s="299" t="s">
        <v>39</v>
      </c>
      <c r="B78" s="17" t="s">
        <v>7</v>
      </c>
      <c r="C78" s="94">
        <v>1</v>
      </c>
      <c r="D78" s="89">
        <v>75.5</v>
      </c>
      <c r="E78" s="49">
        <f>C78*D78</f>
        <v>75.5</v>
      </c>
      <c r="F78" s="23"/>
      <c r="G78" s="9"/>
    </row>
    <row r="79" spans="1:7" ht="13.5" thickBot="1" x14ac:dyDescent="0.25">
      <c r="D79" s="114" t="s">
        <v>179</v>
      </c>
      <c r="E79" s="49">
        <f>$B$36</f>
        <v>1</v>
      </c>
      <c r="F79" s="22">
        <f>SUM(E77:E78)*E79</f>
        <v>226.5</v>
      </c>
      <c r="G79" s="9"/>
    </row>
    <row r="80" spans="1:7" x14ac:dyDescent="0.2">
      <c r="D80" s="114"/>
      <c r="E80" s="58"/>
      <c r="F80" s="23"/>
      <c r="G80" s="9"/>
    </row>
    <row r="81" spans="1:7" ht="13.5" thickBot="1" x14ac:dyDescent="0.25">
      <c r="A81" s="7" t="s">
        <v>297</v>
      </c>
      <c r="F81" s="23"/>
      <c r="G81" s="9"/>
    </row>
    <row r="82" spans="1:7" ht="13.5" thickBot="1" x14ac:dyDescent="0.25">
      <c r="A82" s="59" t="s">
        <v>59</v>
      </c>
      <c r="B82" s="60" t="s">
        <v>60</v>
      </c>
      <c r="C82" s="60" t="s">
        <v>35</v>
      </c>
      <c r="D82" s="61" t="s">
        <v>210</v>
      </c>
      <c r="E82" s="61" t="s">
        <v>61</v>
      </c>
      <c r="F82" s="62" t="s">
        <v>62</v>
      </c>
      <c r="G82" s="9"/>
    </row>
    <row r="83" spans="1:7" x14ac:dyDescent="0.2">
      <c r="A83" s="299" t="s">
        <v>69</v>
      </c>
      <c r="B83" s="17" t="s">
        <v>7</v>
      </c>
      <c r="C83" s="94">
        <v>2</v>
      </c>
      <c r="D83" s="89">
        <v>25</v>
      </c>
      <c r="E83" s="49">
        <f>C83*D83</f>
        <v>50</v>
      </c>
      <c r="F83" s="23"/>
      <c r="G83" s="9"/>
    </row>
    <row r="84" spans="1:7" ht="13.5" thickBot="1" x14ac:dyDescent="0.25">
      <c r="A84" s="299" t="s">
        <v>39</v>
      </c>
      <c r="B84" s="17" t="s">
        <v>7</v>
      </c>
      <c r="C84" s="94">
        <v>1</v>
      </c>
      <c r="D84" s="89">
        <v>25</v>
      </c>
      <c r="E84" s="49">
        <f>C84*D84</f>
        <v>25</v>
      </c>
      <c r="F84" s="23"/>
      <c r="G84" s="9"/>
    </row>
    <row r="85" spans="1:7" ht="13.5" thickBot="1" x14ac:dyDescent="0.25">
      <c r="D85" s="114" t="s">
        <v>179</v>
      </c>
      <c r="E85" s="49">
        <f>$B$36</f>
        <v>1</v>
      </c>
      <c r="F85" s="22">
        <f>SUM(E83:E84)*E85</f>
        <v>75</v>
      </c>
      <c r="G85" s="9"/>
    </row>
    <row r="86" spans="1:7" x14ac:dyDescent="0.2">
      <c r="D86" s="114"/>
      <c r="E86" s="58"/>
      <c r="F86" s="23"/>
      <c r="G86" s="9"/>
    </row>
    <row r="87" spans="1:7" ht="13.5" thickBot="1" x14ac:dyDescent="0.25">
      <c r="A87" s="7" t="s">
        <v>298</v>
      </c>
      <c r="F87" s="23"/>
      <c r="G87" s="9"/>
    </row>
    <row r="88" spans="1:7" ht="13.5" thickBot="1" x14ac:dyDescent="0.25">
      <c r="A88" s="59" t="s">
        <v>59</v>
      </c>
      <c r="B88" s="60" t="s">
        <v>60</v>
      </c>
      <c r="C88" s="60" t="s">
        <v>35</v>
      </c>
      <c r="D88" s="61" t="s">
        <v>210</v>
      </c>
      <c r="E88" s="61" t="s">
        <v>61</v>
      </c>
      <c r="F88" s="62" t="s">
        <v>62</v>
      </c>
      <c r="G88" s="9"/>
    </row>
    <row r="89" spans="1:7" x14ac:dyDescent="0.2">
      <c r="A89" s="299" t="s">
        <v>69</v>
      </c>
      <c r="B89" s="17" t="s">
        <v>7</v>
      </c>
      <c r="C89" s="94">
        <v>2</v>
      </c>
      <c r="D89" s="89">
        <v>25</v>
      </c>
      <c r="E89" s="49">
        <f>C89*D89</f>
        <v>50</v>
      </c>
      <c r="F89" s="23"/>
      <c r="G89" s="9"/>
    </row>
    <row r="90" spans="1:7" ht="13.5" thickBot="1" x14ac:dyDescent="0.25">
      <c r="A90" s="299" t="s">
        <v>39</v>
      </c>
      <c r="B90" s="17" t="s">
        <v>7</v>
      </c>
      <c r="C90" s="94">
        <v>1</v>
      </c>
      <c r="D90" s="89">
        <v>25</v>
      </c>
      <c r="E90" s="49">
        <f>C90*D90</f>
        <v>25</v>
      </c>
      <c r="F90" s="23"/>
      <c r="G90" s="9"/>
    </row>
    <row r="91" spans="1:7" ht="13.5" thickBot="1" x14ac:dyDescent="0.25">
      <c r="D91" s="114" t="s">
        <v>179</v>
      </c>
      <c r="E91" s="49">
        <f>$B$36</f>
        <v>1</v>
      </c>
      <c r="F91" s="22">
        <f>SUM(E89:E90)*E91</f>
        <v>75</v>
      </c>
      <c r="G91" s="9"/>
    </row>
    <row r="92" spans="1:7" ht="13.5" thickBot="1" x14ac:dyDescent="0.25">
      <c r="G92" s="9"/>
    </row>
    <row r="93" spans="1:7" ht="13.5" thickBot="1" x14ac:dyDescent="0.25">
      <c r="A93" s="24" t="s">
        <v>87</v>
      </c>
      <c r="B93" s="25"/>
      <c r="C93" s="25"/>
      <c r="D93" s="26"/>
      <c r="E93" s="27"/>
      <c r="F93" s="22">
        <f>F48+F61+F67+F73+F79+F85+F91</f>
        <v>13849.220687999999</v>
      </c>
      <c r="G93" s="9"/>
    </row>
    <row r="94" spans="1:7" x14ac:dyDescent="0.2">
      <c r="A94" s="34"/>
      <c r="B94" s="34"/>
      <c r="C94" s="34"/>
      <c r="D94" s="35"/>
      <c r="E94" s="35"/>
      <c r="F94" s="23"/>
      <c r="G94" s="9"/>
    </row>
    <row r="95" spans="1:7" x14ac:dyDescent="0.2">
      <c r="A95" s="34"/>
      <c r="B95" s="34"/>
      <c r="C95" s="34"/>
      <c r="D95" s="35"/>
      <c r="E95" s="35"/>
      <c r="F95" s="23"/>
      <c r="G95" s="9"/>
    </row>
    <row r="96" spans="1:7" x14ac:dyDescent="0.2">
      <c r="A96" s="11" t="s">
        <v>40</v>
      </c>
      <c r="B96" s="7"/>
      <c r="C96" s="7"/>
      <c r="D96" s="290"/>
      <c r="E96" s="290"/>
      <c r="F96" s="290"/>
      <c r="G96" s="9"/>
    </row>
    <row r="97" spans="1:7" x14ac:dyDescent="0.2">
      <c r="A97" s="7"/>
      <c r="B97" s="7"/>
      <c r="C97" s="7"/>
      <c r="D97" s="290"/>
      <c r="E97" s="290"/>
      <c r="F97" s="290"/>
      <c r="G97" s="9"/>
    </row>
    <row r="98" spans="1:7" x14ac:dyDescent="0.2">
      <c r="A98" s="7" t="s">
        <v>181</v>
      </c>
      <c r="B98" s="7"/>
      <c r="C98" s="7"/>
      <c r="D98" s="290"/>
      <c r="E98" s="290"/>
      <c r="F98" s="290"/>
      <c r="G98" s="9"/>
    </row>
    <row r="99" spans="1:7" ht="13.5" thickBot="1" x14ac:dyDescent="0.25">
      <c r="A99" s="7"/>
      <c r="B99" s="7"/>
      <c r="C99" s="7"/>
      <c r="D99" s="290"/>
      <c r="E99" s="290"/>
      <c r="F99" s="290"/>
      <c r="G99" s="9"/>
    </row>
    <row r="100" spans="1:7" ht="24.75" thickBot="1" x14ac:dyDescent="0.25">
      <c r="A100" s="59" t="s">
        <v>59</v>
      </c>
      <c r="B100" s="60" t="s">
        <v>60</v>
      </c>
      <c r="C100" s="249" t="s">
        <v>225</v>
      </c>
      <c r="D100" s="61" t="s">
        <v>210</v>
      </c>
      <c r="E100" s="61" t="s">
        <v>61</v>
      </c>
      <c r="F100" s="62" t="s">
        <v>62</v>
      </c>
      <c r="G100" s="9"/>
    </row>
    <row r="101" spans="1:7" x14ac:dyDescent="0.2">
      <c r="A101" s="284" t="s">
        <v>63</v>
      </c>
      <c r="B101" s="306" t="s">
        <v>7</v>
      </c>
      <c r="C101" s="361">
        <v>12</v>
      </c>
      <c r="D101" s="307">
        <v>225</v>
      </c>
      <c r="E101" s="308">
        <f>IFERROR(D101/C101,0)</f>
        <v>18.75</v>
      </c>
      <c r="F101" s="290"/>
      <c r="G101" s="9"/>
    </row>
    <row r="102" spans="1:7" x14ac:dyDescent="0.2">
      <c r="A102" s="299" t="s">
        <v>26</v>
      </c>
      <c r="B102" s="309" t="s">
        <v>7</v>
      </c>
      <c r="C102" s="361">
        <v>6</v>
      </c>
      <c r="D102" s="307">
        <v>59.95</v>
      </c>
      <c r="E102" s="308">
        <f t="shared" ref="E102:E110" si="1">IFERROR(D102/C102,0)</f>
        <v>9.9916666666666671</v>
      </c>
      <c r="F102" s="290"/>
      <c r="G102" s="9"/>
    </row>
    <row r="103" spans="1:7" x14ac:dyDescent="0.2">
      <c r="A103" s="299" t="s">
        <v>27</v>
      </c>
      <c r="B103" s="309" t="s">
        <v>7</v>
      </c>
      <c r="C103" s="362">
        <v>1.5</v>
      </c>
      <c r="D103" s="307">
        <v>24.75</v>
      </c>
      <c r="E103" s="308">
        <f t="shared" si="1"/>
        <v>16.5</v>
      </c>
      <c r="F103" s="290"/>
      <c r="G103" s="9"/>
    </row>
    <row r="104" spans="1:7" x14ac:dyDescent="0.2">
      <c r="A104" s="299" t="s">
        <v>28</v>
      </c>
      <c r="B104" s="309" t="s">
        <v>7</v>
      </c>
      <c r="C104" s="361">
        <v>6</v>
      </c>
      <c r="D104" s="307">
        <v>35.25</v>
      </c>
      <c r="E104" s="308">
        <f t="shared" si="1"/>
        <v>5.875</v>
      </c>
      <c r="F104" s="290"/>
      <c r="G104" s="9"/>
    </row>
    <row r="105" spans="1:7" x14ac:dyDescent="0.2">
      <c r="A105" s="299" t="s">
        <v>65</v>
      </c>
      <c r="B105" s="309" t="s">
        <v>43</v>
      </c>
      <c r="C105" s="361">
        <v>6</v>
      </c>
      <c r="D105" s="307">
        <v>63.55</v>
      </c>
      <c r="E105" s="308">
        <f t="shared" si="1"/>
        <v>10.591666666666667</v>
      </c>
      <c r="F105" s="290"/>
      <c r="G105" s="9"/>
    </row>
    <row r="106" spans="1:7" x14ac:dyDescent="0.2">
      <c r="A106" s="299" t="s">
        <v>88</v>
      </c>
      <c r="B106" s="309" t="s">
        <v>43</v>
      </c>
      <c r="C106" s="361">
        <v>2</v>
      </c>
      <c r="D106" s="307">
        <v>18.8</v>
      </c>
      <c r="E106" s="308">
        <f t="shared" si="1"/>
        <v>9.4</v>
      </c>
      <c r="F106" s="290"/>
      <c r="G106" s="9"/>
    </row>
    <row r="107" spans="1:7" x14ac:dyDescent="0.2">
      <c r="A107" s="299" t="s">
        <v>64</v>
      </c>
      <c r="B107" s="309" t="s">
        <v>7</v>
      </c>
      <c r="C107" s="361">
        <v>12</v>
      </c>
      <c r="D107" s="307">
        <v>49.75</v>
      </c>
      <c r="E107" s="308">
        <f t="shared" si="1"/>
        <v>4.145833333333333</v>
      </c>
      <c r="F107" s="290"/>
      <c r="G107" s="9"/>
    </row>
    <row r="108" spans="1:7" x14ac:dyDescent="0.2">
      <c r="A108" s="310" t="s">
        <v>8</v>
      </c>
      <c r="B108" s="293" t="s">
        <v>7</v>
      </c>
      <c r="C108" s="361">
        <v>5</v>
      </c>
      <c r="D108" s="307">
        <v>38.6</v>
      </c>
      <c r="E108" s="308">
        <f t="shared" si="1"/>
        <v>7.7200000000000006</v>
      </c>
      <c r="F108" s="311"/>
      <c r="G108" s="9"/>
    </row>
    <row r="109" spans="1:7" x14ac:dyDescent="0.2">
      <c r="A109" s="299" t="s">
        <v>29</v>
      </c>
      <c r="B109" s="309" t="s">
        <v>43</v>
      </c>
      <c r="C109" s="362">
        <v>0.25</v>
      </c>
      <c r="D109" s="307">
        <v>14.4</v>
      </c>
      <c r="E109" s="308">
        <f t="shared" si="1"/>
        <v>57.6</v>
      </c>
      <c r="F109" s="290"/>
      <c r="G109" s="9"/>
    </row>
    <row r="110" spans="1:7" x14ac:dyDescent="0.2">
      <c r="A110" s="299" t="s">
        <v>58</v>
      </c>
      <c r="B110" s="309" t="s">
        <v>44</v>
      </c>
      <c r="C110" s="361">
        <v>2</v>
      </c>
      <c r="D110" s="307">
        <v>25.25</v>
      </c>
      <c r="E110" s="308">
        <f t="shared" si="1"/>
        <v>12.625</v>
      </c>
      <c r="F110" s="290"/>
      <c r="G110" s="9"/>
    </row>
    <row r="111" spans="1:7" ht="13.5" thickBot="1" x14ac:dyDescent="0.25">
      <c r="A111" s="299" t="s">
        <v>4</v>
      </c>
      <c r="B111" s="309" t="s">
        <v>5</v>
      </c>
      <c r="C111" s="313">
        <v>2</v>
      </c>
      <c r="D111" s="312">
        <f>+SUM(E101:E110)</f>
        <v>153.19916666666666</v>
      </c>
      <c r="E111" s="312">
        <f t="shared" ref="E111" si="2">C111*D111</f>
        <v>306.39833333333331</v>
      </c>
      <c r="F111" s="290"/>
      <c r="G111" s="9"/>
    </row>
    <row r="112" spans="1:7" ht="13.5" thickBot="1" x14ac:dyDescent="0.25">
      <c r="A112" s="7"/>
      <c r="B112" s="7"/>
      <c r="C112" s="7"/>
      <c r="D112" s="314" t="s">
        <v>179</v>
      </c>
      <c r="E112" s="315">
        <f>$B$36</f>
        <v>1</v>
      </c>
      <c r="F112" s="115">
        <f>E111*E112</f>
        <v>306.39833333333331</v>
      </c>
      <c r="G112" s="9"/>
    </row>
    <row r="113" spans="1:7" x14ac:dyDescent="0.2">
      <c r="A113" s="7"/>
      <c r="B113" s="7"/>
      <c r="C113" s="7"/>
      <c r="D113" s="290"/>
      <c r="E113" s="290"/>
      <c r="F113" s="290"/>
      <c r="G113" s="9"/>
    </row>
    <row r="114" spans="1:7" x14ac:dyDescent="0.2">
      <c r="A114" s="7" t="s">
        <v>302</v>
      </c>
      <c r="B114" s="7"/>
      <c r="C114" s="7"/>
      <c r="D114" s="290"/>
      <c r="E114" s="290"/>
      <c r="F114" s="290"/>
      <c r="G114" s="9"/>
    </row>
    <row r="115" spans="1:7" ht="13.5" thickBot="1" x14ac:dyDescent="0.25">
      <c r="A115" s="7"/>
      <c r="B115" s="7"/>
      <c r="C115" s="7"/>
      <c r="D115" s="290"/>
      <c r="E115" s="290"/>
      <c r="F115" s="290"/>
      <c r="G115" s="9"/>
    </row>
    <row r="116" spans="1:7" ht="24.75" thickBot="1" x14ac:dyDescent="0.25">
      <c r="A116" s="59" t="s">
        <v>59</v>
      </c>
      <c r="B116" s="60" t="s">
        <v>60</v>
      </c>
      <c r="C116" s="249" t="s">
        <v>225</v>
      </c>
      <c r="D116" s="61" t="s">
        <v>210</v>
      </c>
      <c r="E116" s="61" t="s">
        <v>61</v>
      </c>
      <c r="F116" s="62" t="s">
        <v>62</v>
      </c>
      <c r="G116" s="9"/>
    </row>
    <row r="117" spans="1:7" x14ac:dyDescent="0.2">
      <c r="A117" s="284" t="s">
        <v>63</v>
      </c>
      <c r="B117" s="306" t="s">
        <v>7</v>
      </c>
      <c r="C117" s="363">
        <v>12</v>
      </c>
      <c r="D117" s="307">
        <f>+D101</f>
        <v>225</v>
      </c>
      <c r="E117" s="308">
        <f>IFERROR(D117/C117,0)</f>
        <v>18.75</v>
      </c>
      <c r="F117" s="290"/>
      <c r="G117" s="9"/>
    </row>
    <row r="118" spans="1:7" x14ac:dyDescent="0.2">
      <c r="A118" s="299" t="s">
        <v>26</v>
      </c>
      <c r="B118" s="309" t="s">
        <v>7</v>
      </c>
      <c r="C118" s="363">
        <v>6</v>
      </c>
      <c r="D118" s="410">
        <f>+D102</f>
        <v>59.95</v>
      </c>
      <c r="E118" s="308">
        <f t="shared" ref="E118:E122" si="3">IFERROR(D118/C118,0)</f>
        <v>9.9916666666666671</v>
      </c>
      <c r="F118" s="290"/>
      <c r="G118" s="9"/>
    </row>
    <row r="119" spans="1:7" x14ac:dyDescent="0.2">
      <c r="A119" s="299" t="s">
        <v>27</v>
      </c>
      <c r="B119" s="309" t="s">
        <v>7</v>
      </c>
      <c r="C119" s="363">
        <v>3</v>
      </c>
      <c r="D119" s="410">
        <f>+D103</f>
        <v>24.75</v>
      </c>
      <c r="E119" s="308">
        <f t="shared" si="3"/>
        <v>8.25</v>
      </c>
      <c r="F119" s="290"/>
      <c r="G119" s="9"/>
    </row>
    <row r="120" spans="1:7" x14ac:dyDescent="0.2">
      <c r="A120" s="299" t="s">
        <v>65</v>
      </c>
      <c r="B120" s="309" t="s">
        <v>43</v>
      </c>
      <c r="C120" s="363">
        <v>12</v>
      </c>
      <c r="D120" s="410">
        <f>+D105</f>
        <v>63.55</v>
      </c>
      <c r="E120" s="308">
        <f t="shared" si="3"/>
        <v>5.2958333333333334</v>
      </c>
      <c r="F120" s="290"/>
      <c r="G120" s="9"/>
    </row>
    <row r="121" spans="1:7" x14ac:dyDescent="0.2">
      <c r="A121" s="299" t="s">
        <v>64</v>
      </c>
      <c r="B121" s="309" t="s">
        <v>7</v>
      </c>
      <c r="C121" s="363">
        <v>12</v>
      </c>
      <c r="D121" s="410">
        <f>+D107</f>
        <v>49.75</v>
      </c>
      <c r="E121" s="308">
        <f t="shared" si="3"/>
        <v>4.145833333333333</v>
      </c>
      <c r="F121" s="290"/>
      <c r="G121" s="9"/>
    </row>
    <row r="122" spans="1:7" x14ac:dyDescent="0.2">
      <c r="A122" s="299" t="s">
        <v>58</v>
      </c>
      <c r="B122" s="309" t="s">
        <v>44</v>
      </c>
      <c r="C122" s="363">
        <v>2</v>
      </c>
      <c r="D122" s="410">
        <f>+D110</f>
        <v>25.25</v>
      </c>
      <c r="E122" s="308">
        <f t="shared" si="3"/>
        <v>12.625</v>
      </c>
      <c r="F122" s="290"/>
      <c r="G122" s="9"/>
    </row>
    <row r="123" spans="1:7" ht="13.5" thickBot="1" x14ac:dyDescent="0.25">
      <c r="A123" s="299" t="s">
        <v>4</v>
      </c>
      <c r="B123" s="309" t="s">
        <v>5</v>
      </c>
      <c r="C123" s="364">
        <v>1</v>
      </c>
      <c r="D123" s="410">
        <f>+SUM(E117:E122)</f>
        <v>59.058333333333337</v>
      </c>
      <c r="E123" s="312">
        <f t="shared" ref="E123" si="4">C123*D123</f>
        <v>59.058333333333337</v>
      </c>
      <c r="F123" s="290"/>
      <c r="G123" s="9"/>
    </row>
    <row r="124" spans="1:7" ht="13.5" thickBot="1" x14ac:dyDescent="0.25">
      <c r="A124" s="7"/>
      <c r="B124" s="7"/>
      <c r="C124" s="7"/>
      <c r="D124" s="314" t="s">
        <v>179</v>
      </c>
      <c r="E124" s="315">
        <f>$B$36</f>
        <v>1</v>
      </c>
      <c r="F124" s="115">
        <f>E123*E124</f>
        <v>59.058333333333337</v>
      </c>
      <c r="G124" s="9"/>
    </row>
    <row r="125" spans="1:7" ht="13.5" thickBot="1" x14ac:dyDescent="0.25">
      <c r="A125" s="7"/>
      <c r="B125" s="7"/>
      <c r="C125" s="7"/>
      <c r="D125" s="290"/>
      <c r="E125" s="290"/>
      <c r="F125" s="290"/>
      <c r="G125" s="9"/>
    </row>
    <row r="126" spans="1:7" ht="13.5" thickBot="1" x14ac:dyDescent="0.25">
      <c r="A126" s="24" t="s">
        <v>184</v>
      </c>
      <c r="B126" s="316"/>
      <c r="C126" s="316"/>
      <c r="D126" s="317"/>
      <c r="E126" s="318"/>
      <c r="F126" s="21">
        <f>+F112+F124</f>
        <v>365.45666666666665</v>
      </c>
      <c r="G126" s="9"/>
    </row>
    <row r="128" spans="1:7" hidden="1" x14ac:dyDescent="0.2">
      <c r="A128" s="11" t="s">
        <v>40</v>
      </c>
      <c r="G128" s="9"/>
    </row>
    <row r="129" spans="1:7" ht="11.25" hidden="1" customHeight="1" x14ac:dyDescent="0.2">
      <c r="G129" s="9"/>
    </row>
    <row r="130" spans="1:7" ht="13.9" hidden="1" customHeight="1" x14ac:dyDescent="0.2">
      <c r="A130" s="9" t="s">
        <v>181</v>
      </c>
      <c r="G130" s="9"/>
    </row>
    <row r="131" spans="1:7" ht="11.25" hidden="1" customHeight="1" thickBot="1" x14ac:dyDescent="0.25">
      <c r="G131" s="9"/>
    </row>
    <row r="132" spans="1:7" ht="27.75" hidden="1" customHeight="1" thickBot="1" x14ac:dyDescent="0.25">
      <c r="A132" s="59" t="s">
        <v>59</v>
      </c>
      <c r="B132" s="60" t="s">
        <v>60</v>
      </c>
      <c r="C132" s="249" t="s">
        <v>225</v>
      </c>
      <c r="D132" s="61" t="s">
        <v>210</v>
      </c>
      <c r="E132" s="61" t="s">
        <v>61</v>
      </c>
      <c r="F132" s="62" t="s">
        <v>62</v>
      </c>
      <c r="G132" s="9"/>
    </row>
    <row r="133" spans="1:7" hidden="1" x14ac:dyDescent="0.2">
      <c r="A133" s="13" t="s">
        <v>63</v>
      </c>
      <c r="B133" s="14" t="s">
        <v>7</v>
      </c>
      <c r="C133" s="93"/>
      <c r="D133" s="86"/>
      <c r="E133" s="15">
        <f>IFERROR(D133/C133,0)</f>
        <v>0</v>
      </c>
      <c r="G133" s="9"/>
    </row>
    <row r="134" spans="1:7" ht="13.15" hidden="1" customHeight="1" x14ac:dyDescent="0.2">
      <c r="A134" s="16" t="s">
        <v>26</v>
      </c>
      <c r="B134" s="17" t="s">
        <v>7</v>
      </c>
      <c r="C134" s="93"/>
      <c r="D134" s="86"/>
      <c r="E134" s="15">
        <f t="shared" ref="E134:E142" si="5">IFERROR(D134/C134,0)</f>
        <v>0</v>
      </c>
      <c r="G134" s="9"/>
    </row>
    <row r="135" spans="1:7" hidden="1" x14ac:dyDescent="0.2">
      <c r="A135" s="16" t="s">
        <v>27</v>
      </c>
      <c r="B135" s="17" t="s">
        <v>7</v>
      </c>
      <c r="C135" s="93"/>
      <c r="D135" s="86"/>
      <c r="E135" s="15">
        <f t="shared" si="5"/>
        <v>0</v>
      </c>
      <c r="G135" s="9"/>
    </row>
    <row r="136" spans="1:7" ht="13.15" hidden="1" customHeight="1" x14ac:dyDescent="0.2">
      <c r="A136" s="16" t="s">
        <v>28</v>
      </c>
      <c r="B136" s="17" t="s">
        <v>7</v>
      </c>
      <c r="C136" s="93"/>
      <c r="D136" s="86"/>
      <c r="E136" s="15">
        <f t="shared" si="5"/>
        <v>0</v>
      </c>
      <c r="G136" s="9"/>
    </row>
    <row r="137" spans="1:7" ht="13.9" hidden="1" customHeight="1" x14ac:dyDescent="0.2">
      <c r="A137" s="16" t="s">
        <v>65</v>
      </c>
      <c r="B137" s="17" t="s">
        <v>43</v>
      </c>
      <c r="C137" s="93"/>
      <c r="D137" s="86"/>
      <c r="E137" s="15">
        <f t="shared" si="5"/>
        <v>0</v>
      </c>
      <c r="G137" s="9"/>
    </row>
    <row r="138" spans="1:7" ht="13.15" hidden="1" customHeight="1" x14ac:dyDescent="0.2">
      <c r="A138" s="16" t="s">
        <v>88</v>
      </c>
      <c r="B138" s="17" t="s">
        <v>43</v>
      </c>
      <c r="C138" s="93"/>
      <c r="D138" s="86"/>
      <c r="E138" s="15">
        <f t="shared" si="5"/>
        <v>0</v>
      </c>
    </row>
    <row r="139" spans="1:7" hidden="1" x14ac:dyDescent="0.2">
      <c r="A139" s="16" t="s">
        <v>64</v>
      </c>
      <c r="B139" s="17" t="s">
        <v>7</v>
      </c>
      <c r="C139" s="93"/>
      <c r="D139" s="86"/>
      <c r="E139" s="15">
        <f t="shared" si="5"/>
        <v>0</v>
      </c>
    </row>
    <row r="140" spans="1:7" s="1" customFormat="1" hidden="1" x14ac:dyDescent="0.2">
      <c r="A140" s="2" t="s">
        <v>8</v>
      </c>
      <c r="B140" s="3" t="s">
        <v>7</v>
      </c>
      <c r="C140" s="93"/>
      <c r="D140" s="86"/>
      <c r="E140" s="15">
        <f t="shared" si="5"/>
        <v>0</v>
      </c>
      <c r="F140" s="37"/>
      <c r="G140" s="37"/>
    </row>
    <row r="141" spans="1:7" hidden="1" x14ac:dyDescent="0.2">
      <c r="A141" s="16" t="s">
        <v>29</v>
      </c>
      <c r="B141" s="17" t="s">
        <v>43</v>
      </c>
      <c r="C141" s="93"/>
      <c r="D141" s="86"/>
      <c r="E141" s="15">
        <f t="shared" si="5"/>
        <v>0</v>
      </c>
    </row>
    <row r="142" spans="1:7" ht="13.15" hidden="1" customHeight="1" x14ac:dyDescent="0.2">
      <c r="A142" s="16" t="s">
        <v>58</v>
      </c>
      <c r="B142" s="17" t="s">
        <v>44</v>
      </c>
      <c r="C142" s="93"/>
      <c r="D142" s="86"/>
      <c r="E142" s="15">
        <f t="shared" si="5"/>
        <v>0</v>
      </c>
    </row>
    <row r="143" spans="1:7" hidden="1" x14ac:dyDescent="0.2">
      <c r="A143" s="16" t="s">
        <v>182</v>
      </c>
      <c r="B143" s="17" t="s">
        <v>109</v>
      </c>
      <c r="C143" s="112">
        <v>1</v>
      </c>
      <c r="D143" s="86"/>
      <c r="E143" s="18">
        <f t="shared" ref="E143:E144" si="6">C143*D143</f>
        <v>0</v>
      </c>
    </row>
    <row r="144" spans="1:7" ht="13.5" hidden="1" thickBot="1" x14ac:dyDescent="0.25">
      <c r="A144" s="16" t="s">
        <v>4</v>
      </c>
      <c r="B144" s="17" t="s">
        <v>5</v>
      </c>
      <c r="C144" s="68" t="e">
        <f>E28+#REF!</f>
        <v>#REF!</v>
      </c>
      <c r="D144" s="18">
        <f>+SUM(E133:E143)</f>
        <v>0</v>
      </c>
      <c r="E144" s="18" t="e">
        <f t="shared" si="6"/>
        <v>#REF!</v>
      </c>
    </row>
    <row r="145" spans="1:7" ht="13.5" hidden="1" thickBot="1" x14ac:dyDescent="0.25">
      <c r="D145" s="114" t="s">
        <v>179</v>
      </c>
      <c r="E145" s="49">
        <f>$B$36</f>
        <v>1</v>
      </c>
      <c r="F145" s="115" t="e">
        <f>E144*E145</f>
        <v>#REF!</v>
      </c>
    </row>
    <row r="146" spans="1:7" ht="11.25" hidden="1" customHeight="1" x14ac:dyDescent="0.2"/>
    <row r="147" spans="1:7" ht="13.9" hidden="1" customHeight="1" x14ac:dyDescent="0.2">
      <c r="A147" s="9" t="s">
        <v>183</v>
      </c>
    </row>
    <row r="148" spans="1:7" ht="11.25" hidden="1" customHeight="1" thickBot="1" x14ac:dyDescent="0.25"/>
    <row r="149" spans="1:7" ht="24.75" hidden="1" thickBot="1" x14ac:dyDescent="0.25">
      <c r="A149" s="59" t="s">
        <v>59</v>
      </c>
      <c r="B149" s="60" t="s">
        <v>60</v>
      </c>
      <c r="C149" s="249" t="s">
        <v>225</v>
      </c>
      <c r="D149" s="61" t="s">
        <v>210</v>
      </c>
      <c r="E149" s="61" t="s">
        <v>61</v>
      </c>
      <c r="F149" s="62" t="s">
        <v>62</v>
      </c>
    </row>
    <row r="150" spans="1:7" hidden="1" x14ac:dyDescent="0.2">
      <c r="A150" s="13" t="s">
        <v>63</v>
      </c>
      <c r="B150" s="14" t="s">
        <v>7</v>
      </c>
      <c r="C150" s="93"/>
      <c r="D150" s="15">
        <f>+D133</f>
        <v>0</v>
      </c>
      <c r="E150" s="15">
        <f>IFERROR(D150/C150,0)</f>
        <v>0</v>
      </c>
    </row>
    <row r="151" spans="1:7" hidden="1" x14ac:dyDescent="0.2">
      <c r="A151" s="16" t="s">
        <v>26</v>
      </c>
      <c r="B151" s="17" t="s">
        <v>7</v>
      </c>
      <c r="C151" s="93"/>
      <c r="D151" s="18">
        <f>+D134</f>
        <v>0</v>
      </c>
      <c r="E151" s="15">
        <f t="shared" ref="E151:E155" si="7">IFERROR(D151/C151,0)</f>
        <v>0</v>
      </c>
    </row>
    <row r="152" spans="1:7" hidden="1" x14ac:dyDescent="0.2">
      <c r="A152" s="16" t="s">
        <v>27</v>
      </c>
      <c r="B152" s="17" t="s">
        <v>7</v>
      </c>
      <c r="C152" s="93"/>
      <c r="D152" s="18">
        <f>+D135</f>
        <v>0</v>
      </c>
      <c r="E152" s="15">
        <f t="shared" si="7"/>
        <v>0</v>
      </c>
    </row>
    <row r="153" spans="1:7" hidden="1" x14ac:dyDescent="0.2">
      <c r="A153" s="16" t="s">
        <v>65</v>
      </c>
      <c r="B153" s="17" t="s">
        <v>43</v>
      </c>
      <c r="C153" s="93"/>
      <c r="D153" s="18">
        <f>+D137</f>
        <v>0</v>
      </c>
      <c r="E153" s="15">
        <f t="shared" si="7"/>
        <v>0</v>
      </c>
    </row>
    <row r="154" spans="1:7" hidden="1" x14ac:dyDescent="0.2">
      <c r="A154" s="16" t="s">
        <v>64</v>
      </c>
      <c r="B154" s="17" t="s">
        <v>7</v>
      </c>
      <c r="C154" s="93"/>
      <c r="D154" s="18">
        <f>+D139</f>
        <v>0</v>
      </c>
      <c r="E154" s="15">
        <f t="shared" si="7"/>
        <v>0</v>
      </c>
      <c r="G154" s="9"/>
    </row>
    <row r="155" spans="1:7" hidden="1" x14ac:dyDescent="0.2">
      <c r="A155" s="16" t="s">
        <v>58</v>
      </c>
      <c r="B155" s="17" t="s">
        <v>44</v>
      </c>
      <c r="C155" s="93"/>
      <c r="D155" s="18">
        <f>+D142</f>
        <v>0</v>
      </c>
      <c r="E155" s="15">
        <f t="shared" si="7"/>
        <v>0</v>
      </c>
      <c r="G155" s="9"/>
    </row>
    <row r="156" spans="1:7" hidden="1" x14ac:dyDescent="0.2">
      <c r="A156" s="16" t="s">
        <v>182</v>
      </c>
      <c r="B156" s="17" t="s">
        <v>109</v>
      </c>
      <c r="C156" s="112">
        <v>1</v>
      </c>
      <c r="D156" s="86"/>
      <c r="E156" s="18">
        <f t="shared" ref="E156:E157" si="8">C156*D156</f>
        <v>0</v>
      </c>
      <c r="G156" s="9"/>
    </row>
    <row r="157" spans="1:7" ht="13.5" hidden="1" thickBot="1" x14ac:dyDescent="0.25">
      <c r="A157" s="16" t="s">
        <v>4</v>
      </c>
      <c r="B157" s="17" t="s">
        <v>5</v>
      </c>
      <c r="C157" s="68" t="e">
        <f>E29+#REF!</f>
        <v>#REF!</v>
      </c>
      <c r="D157" s="18">
        <f>+SUM(E150:E156)</f>
        <v>0</v>
      </c>
      <c r="E157" s="18" t="e">
        <f t="shared" si="8"/>
        <v>#REF!</v>
      </c>
      <c r="G157" s="9"/>
    </row>
    <row r="158" spans="1:7" ht="13.5" hidden="1" thickBot="1" x14ac:dyDescent="0.25">
      <c r="D158" s="114" t="s">
        <v>179</v>
      </c>
      <c r="E158" s="49">
        <f>$B$36</f>
        <v>1</v>
      </c>
      <c r="F158" s="115" t="e">
        <f>E157*E158</f>
        <v>#REF!</v>
      </c>
      <c r="G158" s="9"/>
    </row>
    <row r="159" spans="1:7" ht="11.25" hidden="1" customHeight="1" thickBot="1" x14ac:dyDescent="0.25">
      <c r="G159" s="9"/>
    </row>
    <row r="160" spans="1:7" ht="13.5" hidden="1" thickBot="1" x14ac:dyDescent="0.25">
      <c r="A160" s="24" t="s">
        <v>184</v>
      </c>
      <c r="B160" s="28"/>
      <c r="C160" s="28"/>
      <c r="D160" s="29"/>
      <c r="E160" s="30"/>
      <c r="F160" s="21" t="e">
        <f>+F145+F158</f>
        <v>#REF!</v>
      </c>
      <c r="G160" s="9"/>
    </row>
    <row r="161" spans="1:10" ht="11.25" customHeight="1" x14ac:dyDescent="0.2">
      <c r="G161" s="9"/>
    </row>
    <row r="162" spans="1:10" x14ac:dyDescent="0.2">
      <c r="A162" s="11" t="s">
        <v>49</v>
      </c>
      <c r="G162" s="9"/>
    </row>
    <row r="163" spans="1:10" ht="11.25" customHeight="1" x14ac:dyDescent="0.2">
      <c r="B163" s="99"/>
      <c r="G163" s="9"/>
    </row>
    <row r="164" spans="1:10" x14ac:dyDescent="0.2">
      <c r="A164" s="7" t="s">
        <v>299</v>
      </c>
      <c r="G164" s="9"/>
    </row>
    <row r="165" spans="1:10" ht="11.25" customHeight="1" x14ac:dyDescent="0.2">
      <c r="G165" s="9"/>
    </row>
    <row r="166" spans="1:10" ht="13.5" thickBot="1" x14ac:dyDescent="0.25">
      <c r="A166" s="99" t="s">
        <v>41</v>
      </c>
      <c r="G166" s="9"/>
    </row>
    <row r="167" spans="1:10" ht="13.5" thickBot="1" x14ac:dyDescent="0.25">
      <c r="A167" s="59" t="s">
        <v>59</v>
      </c>
      <c r="B167" s="60" t="s">
        <v>60</v>
      </c>
      <c r="C167" s="60" t="s">
        <v>35</v>
      </c>
      <c r="D167" s="61" t="s">
        <v>210</v>
      </c>
      <c r="E167" s="61" t="s">
        <v>61</v>
      </c>
      <c r="F167" s="62" t="s">
        <v>62</v>
      </c>
      <c r="G167" s="9"/>
    </row>
    <row r="168" spans="1:10" x14ac:dyDescent="0.2">
      <c r="A168" s="13" t="s">
        <v>97</v>
      </c>
      <c r="B168" s="14" t="s">
        <v>7</v>
      </c>
      <c r="C168" s="255">
        <v>1</v>
      </c>
      <c r="D168" s="86">
        <v>469956</v>
      </c>
      <c r="E168" s="15">
        <f>C168*D168</f>
        <v>469956</v>
      </c>
      <c r="G168" s="9"/>
    </row>
    <row r="169" spans="1:10" x14ac:dyDescent="0.2">
      <c r="A169" s="16" t="s">
        <v>91</v>
      </c>
      <c r="B169" s="17" t="s">
        <v>92</v>
      </c>
      <c r="C169" s="256">
        <v>10</v>
      </c>
      <c r="D169" s="82"/>
      <c r="E169" s="18"/>
      <c r="G169" s="9"/>
    </row>
    <row r="170" spans="1:10" x14ac:dyDescent="0.2">
      <c r="A170" s="16" t="s">
        <v>190</v>
      </c>
      <c r="B170" s="17" t="s">
        <v>92</v>
      </c>
      <c r="C170" s="85">
        <v>0</v>
      </c>
      <c r="D170" s="18"/>
      <c r="E170" s="18"/>
      <c r="F170" s="20"/>
      <c r="I170" s="84"/>
      <c r="J170" s="84"/>
    </row>
    <row r="171" spans="1:10" x14ac:dyDescent="0.2">
      <c r="A171" s="16" t="s">
        <v>95</v>
      </c>
      <c r="B171" s="17" t="s">
        <v>1</v>
      </c>
      <c r="C171" s="87">
        <f>IFERROR(VLOOKUP(C169,'7. Depreciação'!A3:B17,2,FALSE),0)</f>
        <v>65.180000000000007</v>
      </c>
      <c r="D171" s="18">
        <f>E168</f>
        <v>469956</v>
      </c>
      <c r="E171" s="18">
        <f>C171*D171/100</f>
        <v>306317.32080000004</v>
      </c>
    </row>
    <row r="172" spans="1:10" ht="13.5" thickBot="1" x14ac:dyDescent="0.25">
      <c r="A172" s="258" t="s">
        <v>45</v>
      </c>
      <c r="B172" s="259" t="s">
        <v>6</v>
      </c>
      <c r="C172" s="259">
        <f>C169*12</f>
        <v>120</v>
      </c>
      <c r="D172" s="260">
        <f>IF(C170&lt;=C169,E171,0)</f>
        <v>306317.32080000004</v>
      </c>
      <c r="E172" s="260">
        <f>IFERROR(D172/C172,0)</f>
        <v>2552.6443400000003</v>
      </c>
    </row>
    <row r="173" spans="1:10" ht="13.5" thickTop="1" x14ac:dyDescent="0.2">
      <c r="A173" s="13" t="s">
        <v>96</v>
      </c>
      <c r="B173" s="14" t="s">
        <v>7</v>
      </c>
      <c r="C173" s="14">
        <f>C168</f>
        <v>1</v>
      </c>
      <c r="D173" s="86">
        <v>185231</v>
      </c>
      <c r="E173" s="15">
        <f>C173*D173</f>
        <v>185231</v>
      </c>
      <c r="G173" s="9"/>
    </row>
    <row r="174" spans="1:10" x14ac:dyDescent="0.2">
      <c r="A174" s="16" t="s">
        <v>93</v>
      </c>
      <c r="B174" s="17" t="s">
        <v>92</v>
      </c>
      <c r="C174" s="256">
        <v>10</v>
      </c>
      <c r="D174" s="18"/>
      <c r="E174" s="18"/>
    </row>
    <row r="175" spans="1:10" x14ac:dyDescent="0.2">
      <c r="A175" s="16" t="s">
        <v>191</v>
      </c>
      <c r="B175" s="17" t="s">
        <v>92</v>
      </c>
      <c r="C175" s="85">
        <v>0</v>
      </c>
      <c r="D175" s="18"/>
      <c r="E175" s="18"/>
      <c r="F175" s="20"/>
      <c r="I175" s="84"/>
      <c r="J175" s="84"/>
    </row>
    <row r="176" spans="1:10" x14ac:dyDescent="0.2">
      <c r="A176" s="16" t="s">
        <v>94</v>
      </c>
      <c r="B176" s="17" t="s">
        <v>1</v>
      </c>
      <c r="C176" s="365">
        <f>IFERROR(VLOOKUP(C174,'7. Depreciação'!A3:B17,2,FALSE),0)</f>
        <v>65.180000000000007</v>
      </c>
      <c r="D176" s="18">
        <f>E173</f>
        <v>185231</v>
      </c>
      <c r="E176" s="18">
        <f>C176*D176/100</f>
        <v>120733.56580000003</v>
      </c>
    </row>
    <row r="177" spans="1:10" x14ac:dyDescent="0.2">
      <c r="A177" s="95" t="s">
        <v>98</v>
      </c>
      <c r="B177" s="96" t="s">
        <v>6</v>
      </c>
      <c r="C177" s="96">
        <f>C174*12</f>
        <v>120</v>
      </c>
      <c r="D177" s="97">
        <f>IF(C175&lt;=C174,E176,0)</f>
        <v>120733.56580000003</v>
      </c>
      <c r="E177" s="97">
        <f>IFERROR(D177/C177,0)</f>
        <v>1006.1130483333335</v>
      </c>
    </row>
    <row r="178" spans="1:10" x14ac:dyDescent="0.2">
      <c r="A178" s="108" t="s">
        <v>228</v>
      </c>
      <c r="B178" s="109"/>
      <c r="C178" s="109"/>
      <c r="D178" s="110"/>
      <c r="E178" s="111">
        <f>E172+E177</f>
        <v>3558.7573883333339</v>
      </c>
    </row>
    <row r="179" spans="1:10" ht="13.5" thickBot="1" x14ac:dyDescent="0.25">
      <c r="A179" s="95" t="s">
        <v>229</v>
      </c>
      <c r="B179" s="96" t="s">
        <v>7</v>
      </c>
      <c r="C179" s="256">
        <v>1</v>
      </c>
      <c r="D179" s="97">
        <f>E178</f>
        <v>3558.7573883333339</v>
      </c>
      <c r="E179" s="111">
        <f>C179*D179</f>
        <v>3558.7573883333339</v>
      </c>
    </row>
    <row r="180" spans="1:10" ht="13.5" thickBot="1" x14ac:dyDescent="0.25">
      <c r="A180" s="254"/>
      <c r="B180" s="254"/>
      <c r="C180" s="254"/>
      <c r="D180" s="114" t="s">
        <v>179</v>
      </c>
      <c r="E180" s="49">
        <f>$B$36</f>
        <v>1</v>
      </c>
      <c r="F180" s="21">
        <f>E179*E180</f>
        <v>3558.7573883333339</v>
      </c>
    </row>
    <row r="181" spans="1:10" ht="11.25" customHeight="1" x14ac:dyDescent="0.2"/>
    <row r="182" spans="1:10" ht="13.5" thickBot="1" x14ac:dyDescent="0.25">
      <c r="A182" s="99" t="s">
        <v>101</v>
      </c>
    </row>
    <row r="183" spans="1:10" ht="13.5" thickBot="1" x14ac:dyDescent="0.25">
      <c r="A183" s="101" t="s">
        <v>59</v>
      </c>
      <c r="B183" s="102" t="s">
        <v>60</v>
      </c>
      <c r="C183" s="102" t="s">
        <v>35</v>
      </c>
      <c r="D183" s="61" t="s">
        <v>210</v>
      </c>
      <c r="E183" s="103" t="s">
        <v>61</v>
      </c>
      <c r="F183" s="62" t="s">
        <v>62</v>
      </c>
      <c r="I183" s="84"/>
      <c r="J183" s="84"/>
    </row>
    <row r="184" spans="1:10" x14ac:dyDescent="0.2">
      <c r="A184" s="16" t="s">
        <v>99</v>
      </c>
      <c r="B184" s="17" t="s">
        <v>7</v>
      </c>
      <c r="C184" s="255">
        <v>1</v>
      </c>
      <c r="D184" s="82">
        <f>D168</f>
        <v>469956</v>
      </c>
      <c r="E184" s="18">
        <f>C184*D184</f>
        <v>469956</v>
      </c>
      <c r="F184" s="20"/>
      <c r="I184" s="84"/>
      <c r="J184" s="84"/>
    </row>
    <row r="185" spans="1:10" x14ac:dyDescent="0.2">
      <c r="A185" s="16" t="s">
        <v>194</v>
      </c>
      <c r="B185" s="17" t="s">
        <v>1</v>
      </c>
      <c r="C185" s="256">
        <v>13.75</v>
      </c>
      <c r="D185" s="18"/>
      <c r="E185" s="18"/>
      <c r="F185" s="20"/>
      <c r="I185" s="84"/>
      <c r="J185" s="84"/>
    </row>
    <row r="186" spans="1:10" x14ac:dyDescent="0.2">
      <c r="A186" s="16" t="s">
        <v>192</v>
      </c>
      <c r="B186" s="17" t="s">
        <v>30</v>
      </c>
      <c r="C186" s="138">
        <f>IFERROR(IF(C170&lt;=C169,E168-(C171/(100*C169)*C170)*E168,E168-E171),0)</f>
        <v>469956</v>
      </c>
      <c r="D186" s="18"/>
      <c r="E186" s="18"/>
      <c r="F186" s="20"/>
      <c r="I186" s="84"/>
      <c r="J186" s="84"/>
    </row>
    <row r="187" spans="1:10" x14ac:dyDescent="0.2">
      <c r="A187" s="16" t="s">
        <v>103</v>
      </c>
      <c r="B187" s="17" t="s">
        <v>30</v>
      </c>
      <c r="C187" s="82">
        <f>IFERROR(IF(C170&gt;=C169,C186,((((C186)-(E168-E171))*(((C169-C170)+1)/(2*(C169-C170))))+(E168-E171))),0)</f>
        <v>332113.20564</v>
      </c>
      <c r="D187" s="18"/>
      <c r="E187" s="18"/>
      <c r="F187" s="20"/>
      <c r="I187" s="84"/>
      <c r="J187" s="84"/>
    </row>
    <row r="188" spans="1:10" ht="13.5" thickBot="1" x14ac:dyDescent="0.25">
      <c r="A188" s="258" t="s">
        <v>104</v>
      </c>
      <c r="B188" s="259" t="s">
        <v>30</v>
      </c>
      <c r="C188" s="259"/>
      <c r="D188" s="261">
        <f>C185*C187/12/100</f>
        <v>3805.4638146249995</v>
      </c>
      <c r="E188" s="260">
        <f>D188</f>
        <v>3805.4638146249995</v>
      </c>
      <c r="F188" s="20"/>
      <c r="I188" s="84"/>
      <c r="J188" s="84"/>
    </row>
    <row r="189" spans="1:10" ht="13.5" thickTop="1" x14ac:dyDescent="0.2">
      <c r="A189" s="13" t="s">
        <v>100</v>
      </c>
      <c r="B189" s="14" t="s">
        <v>7</v>
      </c>
      <c r="C189" s="14">
        <f>C173</f>
        <v>1</v>
      </c>
      <c r="D189" s="15">
        <f>D173</f>
        <v>185231</v>
      </c>
      <c r="E189" s="15">
        <f>C189*D189</f>
        <v>185231</v>
      </c>
      <c r="F189" s="20"/>
      <c r="I189" s="84"/>
      <c r="J189" s="84"/>
    </row>
    <row r="190" spans="1:10" x14ac:dyDescent="0.2">
      <c r="A190" s="16" t="s">
        <v>194</v>
      </c>
      <c r="B190" s="17" t="s">
        <v>1</v>
      </c>
      <c r="C190" s="256">
        <f>C185</f>
        <v>13.75</v>
      </c>
      <c r="D190" s="18"/>
      <c r="E190" s="18"/>
      <c r="F190" s="20"/>
      <c r="I190" s="84"/>
      <c r="J190" s="84"/>
    </row>
    <row r="191" spans="1:10" x14ac:dyDescent="0.2">
      <c r="A191" s="16" t="s">
        <v>193</v>
      </c>
      <c r="B191" s="17" t="s">
        <v>30</v>
      </c>
      <c r="C191" s="138">
        <f>IFERROR(IF(C175&lt;=C174,E173-(C176/(100*C174)*C175)*E173,E173-E176),0)</f>
        <v>185231</v>
      </c>
      <c r="D191" s="18"/>
      <c r="E191" s="18"/>
      <c r="F191" s="20"/>
      <c r="I191" s="84"/>
      <c r="J191" s="84"/>
    </row>
    <row r="192" spans="1:10" x14ac:dyDescent="0.2">
      <c r="A192" s="16" t="s">
        <v>105</v>
      </c>
      <c r="B192" s="17" t="s">
        <v>30</v>
      </c>
      <c r="C192" s="82">
        <f>IFERROR(IF(C175&gt;=C174,C191,((((C191)-(E173-E176))*(((C174-C175)+1)/(2*(C174-C175))))+(E173-E176))),0)</f>
        <v>130900.89538999999</v>
      </c>
      <c r="D192" s="18"/>
      <c r="E192" s="18"/>
      <c r="F192" s="20"/>
      <c r="I192" s="84"/>
      <c r="J192" s="84"/>
    </row>
    <row r="193" spans="1:10" x14ac:dyDescent="0.2">
      <c r="A193" s="95" t="s">
        <v>102</v>
      </c>
      <c r="B193" s="96" t="s">
        <v>30</v>
      </c>
      <c r="C193" s="96"/>
      <c r="D193" s="105">
        <f>C190*C192/12/100</f>
        <v>1499.9060930104167</v>
      </c>
      <c r="E193" s="97">
        <f>D193</f>
        <v>1499.9060930104167</v>
      </c>
      <c r="F193" s="20"/>
      <c r="I193" s="84"/>
      <c r="J193" s="84"/>
    </row>
    <row r="194" spans="1:10" x14ac:dyDescent="0.2">
      <c r="A194" s="108" t="s">
        <v>228</v>
      </c>
      <c r="B194" s="109"/>
      <c r="C194" s="109"/>
      <c r="D194" s="110"/>
      <c r="E194" s="111">
        <f>E188+E193</f>
        <v>5305.369907635416</v>
      </c>
      <c r="F194" s="20"/>
      <c r="I194" s="84"/>
      <c r="J194" s="84"/>
    </row>
    <row r="195" spans="1:10" ht="13.5" thickBot="1" x14ac:dyDescent="0.25">
      <c r="A195" s="95" t="s">
        <v>229</v>
      </c>
      <c r="B195" s="96" t="s">
        <v>7</v>
      </c>
      <c r="C195" s="256">
        <f>C179</f>
        <v>1</v>
      </c>
      <c r="D195" s="97">
        <f>E194</f>
        <v>5305.369907635416</v>
      </c>
      <c r="E195" s="111">
        <f>C195*D195</f>
        <v>5305.369907635416</v>
      </c>
      <c r="F195" s="20"/>
      <c r="I195" s="84"/>
      <c r="J195" s="84"/>
    </row>
    <row r="196" spans="1:10" ht="13.5" thickBot="1" x14ac:dyDescent="0.25">
      <c r="C196" s="19"/>
      <c r="D196" s="114" t="s">
        <v>179</v>
      </c>
      <c r="E196" s="49">
        <f>$B$36</f>
        <v>1</v>
      </c>
      <c r="F196" s="21">
        <f>E195*E196</f>
        <v>5305.369907635416</v>
      </c>
      <c r="I196" s="84"/>
      <c r="J196" s="84"/>
    </row>
    <row r="197" spans="1:10" ht="11.25" customHeight="1" x14ac:dyDescent="0.2">
      <c r="I197" s="84"/>
      <c r="J197" s="84"/>
    </row>
    <row r="198" spans="1:10" ht="13.5" thickBot="1" x14ac:dyDescent="0.25">
      <c r="A198" s="9" t="s">
        <v>46</v>
      </c>
      <c r="I198" s="84"/>
      <c r="J198" s="84"/>
    </row>
    <row r="199" spans="1:10" ht="13.5" thickBot="1" x14ac:dyDescent="0.25">
      <c r="A199" s="59" t="s">
        <v>59</v>
      </c>
      <c r="B199" s="60" t="s">
        <v>60</v>
      </c>
      <c r="C199" s="60" t="s">
        <v>35</v>
      </c>
      <c r="D199" s="61" t="s">
        <v>210</v>
      </c>
      <c r="E199" s="61" t="s">
        <v>61</v>
      </c>
      <c r="F199" s="62" t="s">
        <v>62</v>
      </c>
      <c r="I199" s="84"/>
      <c r="J199" s="84"/>
    </row>
    <row r="200" spans="1:10" x14ac:dyDescent="0.2">
      <c r="A200" s="13" t="s">
        <v>9</v>
      </c>
      <c r="B200" s="14" t="s">
        <v>7</v>
      </c>
      <c r="C200" s="15">
        <f>C179</f>
        <v>1</v>
      </c>
      <c r="D200" s="15">
        <f>D168*3.5%</f>
        <v>16448.460000000003</v>
      </c>
      <c r="E200" s="15">
        <f>C200*D200</f>
        <v>16448.460000000003</v>
      </c>
      <c r="I200" s="84"/>
      <c r="J200" s="84"/>
    </row>
    <row r="201" spans="1:10" x14ac:dyDescent="0.2">
      <c r="A201" s="16" t="s">
        <v>178</v>
      </c>
      <c r="B201" s="17" t="s">
        <v>7</v>
      </c>
      <c r="C201" s="15">
        <f>C179</f>
        <v>1</v>
      </c>
      <c r="D201" s="87">
        <v>226.7</v>
      </c>
      <c r="E201" s="18">
        <f>C201*D201</f>
        <v>226.7</v>
      </c>
      <c r="I201" s="84"/>
      <c r="J201" s="84"/>
    </row>
    <row r="202" spans="1:10" x14ac:dyDescent="0.2">
      <c r="A202" s="16" t="s">
        <v>10</v>
      </c>
      <c r="B202" s="17" t="s">
        <v>7</v>
      </c>
      <c r="C202" s="15">
        <f>C179</f>
        <v>1</v>
      </c>
      <c r="D202" s="87">
        <v>14500</v>
      </c>
      <c r="E202" s="18">
        <f>C202*D202</f>
        <v>14500</v>
      </c>
      <c r="F202" s="31"/>
      <c r="I202" s="84"/>
      <c r="J202" s="84"/>
    </row>
    <row r="203" spans="1:10" ht="13.5" thickBot="1" x14ac:dyDescent="0.25">
      <c r="A203" s="95" t="s">
        <v>11</v>
      </c>
      <c r="B203" s="96" t="s">
        <v>6</v>
      </c>
      <c r="C203" s="96">
        <v>12</v>
      </c>
      <c r="D203" s="97">
        <f>SUM(E200:E202)</f>
        <v>31175.160000000003</v>
      </c>
      <c r="E203" s="97">
        <f>D203/C203</f>
        <v>2597.9300000000003</v>
      </c>
      <c r="I203" s="84"/>
      <c r="J203" s="84"/>
    </row>
    <row r="204" spans="1:10" ht="13.5" thickBot="1" x14ac:dyDescent="0.25">
      <c r="D204" s="114" t="s">
        <v>179</v>
      </c>
      <c r="E204" s="49">
        <f>$B$36</f>
        <v>1</v>
      </c>
      <c r="F204" s="115">
        <f>E203*E204</f>
        <v>2597.9300000000003</v>
      </c>
      <c r="I204" s="84"/>
      <c r="J204" s="84"/>
    </row>
    <row r="205" spans="1:10" ht="11.25" customHeight="1" x14ac:dyDescent="0.2">
      <c r="I205" s="84"/>
      <c r="J205" s="84"/>
    </row>
    <row r="206" spans="1:10" x14ac:dyDescent="0.2">
      <c r="A206" s="9" t="s">
        <v>47</v>
      </c>
      <c r="B206" s="32"/>
      <c r="I206" s="84"/>
      <c r="J206" s="84"/>
    </row>
    <row r="207" spans="1:10" x14ac:dyDescent="0.2">
      <c r="B207" s="32"/>
      <c r="I207" s="84"/>
      <c r="J207" s="84"/>
    </row>
    <row r="208" spans="1:10" x14ac:dyDescent="0.2">
      <c r="A208" s="95" t="s">
        <v>364</v>
      </c>
      <c r="B208" s="366">
        <v>662.49</v>
      </c>
      <c r="I208" s="84"/>
      <c r="J208" s="84"/>
    </row>
    <row r="209" spans="1:10" ht="13.5" thickBot="1" x14ac:dyDescent="0.25">
      <c r="B209" s="32"/>
      <c r="I209" s="84"/>
      <c r="J209" s="84"/>
    </row>
    <row r="210" spans="1:10" ht="13.5" thickBot="1" x14ac:dyDescent="0.25">
      <c r="A210" s="59" t="s">
        <v>59</v>
      </c>
      <c r="B210" s="60" t="s">
        <v>60</v>
      </c>
      <c r="C210" s="60" t="s">
        <v>227</v>
      </c>
      <c r="D210" s="61" t="s">
        <v>210</v>
      </c>
      <c r="E210" s="61" t="s">
        <v>61</v>
      </c>
      <c r="F210" s="62" t="s">
        <v>62</v>
      </c>
      <c r="I210" s="84"/>
      <c r="J210" s="84"/>
    </row>
    <row r="211" spans="1:10" x14ac:dyDescent="0.2">
      <c r="A211" s="13" t="s">
        <v>12</v>
      </c>
      <c r="B211" s="14" t="s">
        <v>13</v>
      </c>
      <c r="C211" s="303">
        <v>2.2000000000000002</v>
      </c>
      <c r="D211" s="91">
        <v>5.78</v>
      </c>
      <c r="E211" s="15"/>
      <c r="G211" s="290"/>
      <c r="I211" s="84"/>
      <c r="J211" s="84"/>
    </row>
    <row r="212" spans="1:10" x14ac:dyDescent="0.2">
      <c r="A212" s="16" t="s">
        <v>14</v>
      </c>
      <c r="B212" s="17" t="s">
        <v>15</v>
      </c>
      <c r="C212" s="304">
        <f>B208</f>
        <v>662.49</v>
      </c>
      <c r="D212" s="253">
        <f>IFERROR(+D211/C211,"-")</f>
        <v>2.627272727272727</v>
      </c>
      <c r="E212" s="18">
        <f>IFERROR(C212*D212,"-")</f>
        <v>1740.541909090909</v>
      </c>
      <c r="I212" s="84"/>
      <c r="J212" s="84"/>
    </row>
    <row r="213" spans="1:10" x14ac:dyDescent="0.2">
      <c r="A213" s="16" t="s">
        <v>211</v>
      </c>
      <c r="B213" s="17" t="s">
        <v>16</v>
      </c>
      <c r="C213" s="92">
        <v>2.8</v>
      </c>
      <c r="D213" s="87">
        <v>22</v>
      </c>
      <c r="E213" s="18"/>
      <c r="G213" s="257"/>
      <c r="H213" s="51"/>
      <c r="I213" s="84"/>
      <c r="J213" s="84"/>
    </row>
    <row r="214" spans="1:10" x14ac:dyDescent="0.2">
      <c r="A214" s="16" t="s">
        <v>17</v>
      </c>
      <c r="B214" s="17" t="s">
        <v>15</v>
      </c>
      <c r="C214" s="304">
        <f>C212</f>
        <v>662.49</v>
      </c>
      <c r="D214" s="250">
        <f>+C213*D213/1000</f>
        <v>6.1599999999999995E-2</v>
      </c>
      <c r="E214" s="18">
        <f>C214*D214</f>
        <v>40.809383999999994</v>
      </c>
      <c r="G214" s="104"/>
      <c r="H214" s="51"/>
      <c r="I214" s="84"/>
      <c r="J214" s="84"/>
    </row>
    <row r="215" spans="1:10" x14ac:dyDescent="0.2">
      <c r="A215" s="16" t="s">
        <v>212</v>
      </c>
      <c r="B215" s="17" t="s">
        <v>16</v>
      </c>
      <c r="C215" s="92">
        <v>0.28000000000000003</v>
      </c>
      <c r="D215" s="87">
        <v>31.5</v>
      </c>
      <c r="E215" s="18"/>
      <c r="G215" s="104"/>
      <c r="H215" s="51"/>
      <c r="I215" s="84"/>
      <c r="J215" s="84"/>
    </row>
    <row r="216" spans="1:10" x14ac:dyDescent="0.2">
      <c r="A216" s="16" t="s">
        <v>18</v>
      </c>
      <c r="B216" s="17" t="s">
        <v>15</v>
      </c>
      <c r="C216" s="304">
        <f>C212</f>
        <v>662.49</v>
      </c>
      <c r="D216" s="250">
        <f>+C215*D215/1000</f>
        <v>8.8199999999999997E-3</v>
      </c>
      <c r="E216" s="18">
        <f>C216*D216</f>
        <v>5.8431617999999999</v>
      </c>
      <c r="G216" s="104"/>
      <c r="H216" s="51"/>
      <c r="I216" s="84"/>
      <c r="J216" s="84"/>
    </row>
    <row r="217" spans="1:10" x14ac:dyDescent="0.2">
      <c r="A217" s="16" t="s">
        <v>213</v>
      </c>
      <c r="B217" s="17" t="s">
        <v>16</v>
      </c>
      <c r="C217" s="92">
        <v>4.99</v>
      </c>
      <c r="D217" s="87">
        <v>21.98</v>
      </c>
      <c r="E217" s="18"/>
      <c r="G217" s="104"/>
      <c r="H217" s="51"/>
      <c r="I217" s="84"/>
      <c r="J217" s="84"/>
    </row>
    <row r="218" spans="1:10" x14ac:dyDescent="0.2">
      <c r="A218" s="16" t="s">
        <v>19</v>
      </c>
      <c r="B218" s="17" t="s">
        <v>15</v>
      </c>
      <c r="C218" s="304">
        <f>C212</f>
        <v>662.49</v>
      </c>
      <c r="D218" s="250">
        <f>+C217*D217/1000</f>
        <v>0.10968020000000002</v>
      </c>
      <c r="E218" s="18">
        <f>C218*D218</f>
        <v>72.662035698000011</v>
      </c>
      <c r="G218" s="104"/>
      <c r="H218" s="51"/>
      <c r="I218" s="84"/>
      <c r="J218" s="84"/>
    </row>
    <row r="219" spans="1:10" x14ac:dyDescent="0.2">
      <c r="A219" s="16" t="s">
        <v>20</v>
      </c>
      <c r="B219" s="17" t="s">
        <v>21</v>
      </c>
      <c r="C219" s="92">
        <v>0.28000000000000003</v>
      </c>
      <c r="D219" s="87">
        <v>20.84</v>
      </c>
      <c r="E219" s="18"/>
      <c r="G219" s="104"/>
      <c r="H219" s="51"/>
      <c r="I219" s="84"/>
      <c r="J219" s="84"/>
    </row>
    <row r="220" spans="1:10" x14ac:dyDescent="0.2">
      <c r="A220" s="16" t="s">
        <v>22</v>
      </c>
      <c r="B220" s="17" t="s">
        <v>15</v>
      </c>
      <c r="C220" s="304">
        <f>C212</f>
        <v>662.49</v>
      </c>
      <c r="D220" s="250">
        <f>+C219*D219/1000</f>
        <v>5.8352000000000005E-3</v>
      </c>
      <c r="E220" s="18">
        <f>C220*D220</f>
        <v>3.8657616480000003</v>
      </c>
      <c r="G220" s="104"/>
      <c r="H220" s="51"/>
      <c r="I220" s="84"/>
      <c r="J220" s="84"/>
    </row>
    <row r="221" spans="1:10" x14ac:dyDescent="0.2">
      <c r="A221" s="95" t="s">
        <v>226</v>
      </c>
      <c r="B221" s="96" t="s">
        <v>107</v>
      </c>
      <c r="C221" s="251"/>
      <c r="D221" s="252">
        <f>IFERROR(D212+D214+D216+D218+D220,0)</f>
        <v>2.813208127272727</v>
      </c>
      <c r="E221" s="18"/>
      <c r="G221" s="104"/>
      <c r="H221" s="51"/>
      <c r="I221" s="84"/>
      <c r="J221" s="84"/>
    </row>
    <row r="222" spans="1:10" x14ac:dyDescent="0.2">
      <c r="A222" s="34"/>
      <c r="B222" s="300"/>
      <c r="C222" s="145"/>
      <c r="D222" s="301"/>
      <c r="E222" s="302"/>
      <c r="G222" s="104"/>
      <c r="H222" s="51"/>
      <c r="I222" s="84"/>
      <c r="J222" s="84"/>
    </row>
    <row r="223" spans="1:10" x14ac:dyDescent="0.2">
      <c r="A223" s="34"/>
      <c r="B223" s="300"/>
      <c r="C223" s="145"/>
      <c r="D223" s="301"/>
      <c r="E223" s="302"/>
      <c r="G223" s="104"/>
      <c r="H223" s="51"/>
      <c r="I223" s="84"/>
      <c r="J223" s="84"/>
    </row>
    <row r="224" spans="1:10" x14ac:dyDescent="0.2">
      <c r="A224" s="95" t="s">
        <v>300</v>
      </c>
      <c r="B224" s="367">
        <v>2641.3</v>
      </c>
      <c r="G224" s="104"/>
      <c r="H224" s="51"/>
      <c r="I224" s="84"/>
      <c r="J224" s="84"/>
    </row>
    <row r="225" spans="1:10" ht="13.5" thickBot="1" x14ac:dyDescent="0.25">
      <c r="B225" s="32"/>
      <c r="G225" s="104"/>
      <c r="H225" s="51"/>
      <c r="I225" s="84"/>
      <c r="J225" s="84"/>
    </row>
    <row r="226" spans="1:10" ht="13.5" thickBot="1" x14ac:dyDescent="0.25">
      <c r="A226" s="59" t="s">
        <v>59</v>
      </c>
      <c r="B226" s="60" t="s">
        <v>60</v>
      </c>
      <c r="C226" s="60" t="s">
        <v>227</v>
      </c>
      <c r="D226" s="61" t="s">
        <v>210</v>
      </c>
      <c r="E226" s="61" t="s">
        <v>61</v>
      </c>
      <c r="F226" s="62" t="s">
        <v>62</v>
      </c>
      <c r="G226" s="104"/>
      <c r="H226" s="51"/>
      <c r="I226" s="84"/>
      <c r="J226" s="84"/>
    </row>
    <row r="227" spans="1:10" x14ac:dyDescent="0.2">
      <c r="A227" s="13" t="s">
        <v>12</v>
      </c>
      <c r="B227" s="14" t="s">
        <v>13</v>
      </c>
      <c r="C227" s="90">
        <v>4.0999999999999996</v>
      </c>
      <c r="D227" s="91">
        <v>5.78</v>
      </c>
      <c r="E227" s="15"/>
      <c r="G227" s="104"/>
      <c r="H227" s="51"/>
      <c r="I227" s="84"/>
      <c r="J227" s="84"/>
    </row>
    <row r="228" spans="1:10" x14ac:dyDescent="0.2">
      <c r="A228" s="16" t="s">
        <v>14</v>
      </c>
      <c r="B228" s="17" t="s">
        <v>15</v>
      </c>
      <c r="C228" s="88">
        <f>B224</f>
        <v>2641.3</v>
      </c>
      <c r="D228" s="253">
        <f>IFERROR(+D227/C227,"-")</f>
        <v>1.4097560975609758</v>
      </c>
      <c r="E228" s="18">
        <f>IFERROR(C228*D228,"-")</f>
        <v>3723.5887804878057</v>
      </c>
      <c r="G228" s="104"/>
      <c r="H228" s="51"/>
      <c r="I228" s="84"/>
      <c r="J228" s="84"/>
    </row>
    <row r="229" spans="1:10" x14ac:dyDescent="0.2">
      <c r="A229" s="16" t="s">
        <v>211</v>
      </c>
      <c r="B229" s="17" t="s">
        <v>16</v>
      </c>
      <c r="C229" s="92">
        <v>2.8</v>
      </c>
      <c r="D229" s="87">
        <v>22</v>
      </c>
      <c r="E229" s="18"/>
      <c r="G229" s="104" t="s">
        <v>301</v>
      </c>
      <c r="H229" s="51"/>
      <c r="I229" s="84"/>
      <c r="J229" s="84"/>
    </row>
    <row r="230" spans="1:10" x14ac:dyDescent="0.2">
      <c r="A230" s="16" t="s">
        <v>17</v>
      </c>
      <c r="B230" s="17" t="s">
        <v>15</v>
      </c>
      <c r="C230" s="88">
        <f>C228</f>
        <v>2641.3</v>
      </c>
      <c r="D230" s="250">
        <f>+C229*D229/1000</f>
        <v>6.1599999999999995E-2</v>
      </c>
      <c r="E230" s="18">
        <f>C230*D230</f>
        <v>162.70408</v>
      </c>
      <c r="G230" s="104"/>
      <c r="H230" s="51"/>
      <c r="I230" s="84"/>
      <c r="J230" s="84"/>
    </row>
    <row r="231" spans="1:10" x14ac:dyDescent="0.2">
      <c r="A231" s="16" t="s">
        <v>212</v>
      </c>
      <c r="B231" s="17" t="s">
        <v>16</v>
      </c>
      <c r="C231" s="92">
        <v>0.28000000000000003</v>
      </c>
      <c r="D231" s="87">
        <v>31.5</v>
      </c>
      <c r="E231" s="18"/>
      <c r="G231" s="104"/>
      <c r="H231" s="51"/>
      <c r="I231" s="84"/>
      <c r="J231" s="84"/>
    </row>
    <row r="232" spans="1:10" x14ac:dyDescent="0.2">
      <c r="A232" s="16" t="s">
        <v>18</v>
      </c>
      <c r="B232" s="17" t="s">
        <v>15</v>
      </c>
      <c r="C232" s="88">
        <f>C228</f>
        <v>2641.3</v>
      </c>
      <c r="D232" s="250">
        <f>+C231*D231/1000</f>
        <v>8.8199999999999997E-3</v>
      </c>
      <c r="E232" s="18">
        <f>C232*D232</f>
        <v>23.296265999999999</v>
      </c>
      <c r="G232" s="104"/>
      <c r="H232" s="51"/>
      <c r="I232" s="84"/>
      <c r="J232" s="84"/>
    </row>
    <row r="233" spans="1:10" x14ac:dyDescent="0.2">
      <c r="A233" s="16" t="s">
        <v>213</v>
      </c>
      <c r="B233" s="17" t="s">
        <v>16</v>
      </c>
      <c r="C233" s="92">
        <v>4.99</v>
      </c>
      <c r="D233" s="87">
        <v>21.98</v>
      </c>
      <c r="E233" s="18"/>
      <c r="G233" s="104"/>
      <c r="H233" s="51"/>
      <c r="I233" s="84"/>
      <c r="J233" s="84"/>
    </row>
    <row r="234" spans="1:10" x14ac:dyDescent="0.2">
      <c r="A234" s="16" t="s">
        <v>19</v>
      </c>
      <c r="B234" s="17" t="s">
        <v>15</v>
      </c>
      <c r="C234" s="88">
        <f>C228</f>
        <v>2641.3</v>
      </c>
      <c r="D234" s="250">
        <f>+C233*D233/1000</f>
        <v>0.10968020000000002</v>
      </c>
      <c r="E234" s="18">
        <f>C234*D234</f>
        <v>289.69831226000008</v>
      </c>
      <c r="G234" s="104"/>
      <c r="H234" s="51"/>
      <c r="I234" s="84"/>
      <c r="J234" s="84"/>
    </row>
    <row r="235" spans="1:10" x14ac:dyDescent="0.2">
      <c r="A235" s="16" t="s">
        <v>20</v>
      </c>
      <c r="B235" s="17" t="s">
        <v>21</v>
      </c>
      <c r="C235" s="92">
        <v>0.28000000000000003</v>
      </c>
      <c r="D235" s="87">
        <v>20.84</v>
      </c>
      <c r="E235" s="18"/>
      <c r="G235" s="104"/>
      <c r="H235" s="51"/>
      <c r="I235" s="84"/>
      <c r="J235" s="84"/>
    </row>
    <row r="236" spans="1:10" x14ac:dyDescent="0.2">
      <c r="A236" s="16" t="s">
        <v>22</v>
      </c>
      <c r="B236" s="17" t="s">
        <v>15</v>
      </c>
      <c r="C236" s="88">
        <f>C228</f>
        <v>2641.3</v>
      </c>
      <c r="D236" s="250">
        <f>+C235*D235/1000</f>
        <v>5.8352000000000005E-3</v>
      </c>
      <c r="E236" s="18">
        <f>C236*D236</f>
        <v>15.412513760000003</v>
      </c>
      <c r="G236" s="104"/>
      <c r="H236" s="51"/>
      <c r="I236" s="84"/>
      <c r="J236" s="84"/>
    </row>
    <row r="237" spans="1:10" x14ac:dyDescent="0.2">
      <c r="A237" s="95" t="s">
        <v>226</v>
      </c>
      <c r="B237" s="96" t="s">
        <v>107</v>
      </c>
      <c r="C237" s="251"/>
      <c r="D237" s="252">
        <f>IFERROR(D228+D230+D232+D234+D236,0)</f>
        <v>1.5956914975609759</v>
      </c>
      <c r="E237" s="18"/>
      <c r="G237" s="104"/>
      <c r="H237" s="51"/>
      <c r="I237" s="84"/>
      <c r="J237" s="84"/>
    </row>
    <row r="238" spans="1:10" ht="13.5" thickBot="1" x14ac:dyDescent="0.25">
      <c r="A238" s="34"/>
      <c r="B238" s="300"/>
      <c r="C238" s="145"/>
      <c r="D238" s="301"/>
      <c r="E238" s="302"/>
      <c r="G238" s="104"/>
      <c r="H238" s="51"/>
      <c r="I238" s="84"/>
      <c r="J238" s="84"/>
    </row>
    <row r="239" spans="1:10" ht="13.5" thickBot="1" x14ac:dyDescent="0.25">
      <c r="F239" s="81">
        <f>SUM(E211:E236)</f>
        <v>6078.4222047447156</v>
      </c>
      <c r="I239" s="84"/>
      <c r="J239" s="84"/>
    </row>
    <row r="240" spans="1:10" ht="11.25" customHeight="1" x14ac:dyDescent="0.2">
      <c r="I240" s="84"/>
      <c r="J240" s="84"/>
    </row>
    <row r="241" spans="1:10" ht="13.5" thickBot="1" x14ac:dyDescent="0.25">
      <c r="A241" s="9" t="s">
        <v>48</v>
      </c>
      <c r="I241" s="84"/>
      <c r="J241" s="84"/>
    </row>
    <row r="242" spans="1:10" ht="13.5" thickBot="1" x14ac:dyDescent="0.25">
      <c r="A242" s="59" t="s">
        <v>59</v>
      </c>
      <c r="B242" s="60" t="s">
        <v>60</v>
      </c>
      <c r="C242" s="60" t="s">
        <v>35</v>
      </c>
      <c r="D242" s="61" t="s">
        <v>210</v>
      </c>
      <c r="E242" s="61" t="s">
        <v>61</v>
      </c>
      <c r="F242" s="62" t="s">
        <v>62</v>
      </c>
      <c r="I242" s="84"/>
      <c r="J242" s="84"/>
    </row>
    <row r="243" spans="1:10" ht="13.5" thickBot="1" x14ac:dyDescent="0.25">
      <c r="A243" s="13" t="s">
        <v>106</v>
      </c>
      <c r="B243" s="14" t="s">
        <v>107</v>
      </c>
      <c r="C243" s="304">
        <f>C212+C228</f>
        <v>3303.79</v>
      </c>
      <c r="D243" s="98">
        <v>0.74</v>
      </c>
      <c r="E243" s="15">
        <f>C243*D243</f>
        <v>2444.8045999999999</v>
      </c>
      <c r="G243" s="290"/>
      <c r="I243" s="84"/>
      <c r="J243" s="84"/>
    </row>
    <row r="244" spans="1:10" ht="13.5" thickBot="1" x14ac:dyDescent="0.25">
      <c r="F244" s="21">
        <f>E243</f>
        <v>2444.8045999999999</v>
      </c>
      <c r="G244" s="290"/>
      <c r="I244" s="84"/>
      <c r="J244" s="84"/>
    </row>
    <row r="245" spans="1:10" ht="11.25" customHeight="1" x14ac:dyDescent="0.2">
      <c r="I245" s="84"/>
      <c r="J245" s="84"/>
    </row>
    <row r="246" spans="1:10" ht="13.5" thickBot="1" x14ac:dyDescent="0.25">
      <c r="A246" s="9" t="s">
        <v>57</v>
      </c>
      <c r="I246" s="84"/>
      <c r="J246" s="84"/>
    </row>
    <row r="247" spans="1:10" ht="13.5" thickBot="1" x14ac:dyDescent="0.25">
      <c r="A247" s="59" t="s">
        <v>59</v>
      </c>
      <c r="B247" s="60" t="s">
        <v>60</v>
      </c>
      <c r="C247" s="60" t="s">
        <v>35</v>
      </c>
      <c r="D247" s="61" t="s">
        <v>210</v>
      </c>
      <c r="E247" s="61" t="s">
        <v>61</v>
      </c>
      <c r="F247" s="62" t="s">
        <v>62</v>
      </c>
      <c r="I247" s="84"/>
      <c r="J247" s="84"/>
    </row>
    <row r="248" spans="1:10" x14ac:dyDescent="0.2">
      <c r="A248" s="284" t="s">
        <v>280</v>
      </c>
      <c r="B248" s="14" t="s">
        <v>7</v>
      </c>
      <c r="C248" s="255">
        <v>6</v>
      </c>
      <c r="D248" s="86">
        <v>1798</v>
      </c>
      <c r="E248" s="15">
        <f>C248*D248</f>
        <v>10788</v>
      </c>
      <c r="I248" s="84"/>
      <c r="J248" s="84"/>
    </row>
    <row r="249" spans="1:10" x14ac:dyDescent="0.2">
      <c r="A249" s="13" t="s">
        <v>108</v>
      </c>
      <c r="B249" s="14" t="s">
        <v>7</v>
      </c>
      <c r="C249" s="255">
        <v>2</v>
      </c>
      <c r="D249" s="98"/>
      <c r="E249" s="15"/>
      <c r="G249" s="9"/>
      <c r="I249" s="84"/>
      <c r="J249" s="84"/>
    </row>
    <row r="250" spans="1:10" x14ac:dyDescent="0.2">
      <c r="A250" s="13" t="s">
        <v>66</v>
      </c>
      <c r="B250" s="14" t="s">
        <v>7</v>
      </c>
      <c r="C250" s="98">
        <f>C248*C249</f>
        <v>12</v>
      </c>
      <c r="D250" s="86">
        <v>625</v>
      </c>
      <c r="E250" s="15">
        <f>C250*D250</f>
        <v>7500</v>
      </c>
      <c r="I250" s="84"/>
      <c r="J250" s="84"/>
    </row>
    <row r="251" spans="1:10" x14ac:dyDescent="0.2">
      <c r="A251" s="16" t="s">
        <v>89</v>
      </c>
      <c r="B251" s="17" t="s">
        <v>23</v>
      </c>
      <c r="C251" s="368">
        <v>73000</v>
      </c>
      <c r="D251" s="18">
        <f>E248+E250</f>
        <v>18288</v>
      </c>
      <c r="E251" s="18">
        <f>IFERROR(D251/C251,"-")</f>
        <v>0.25052054794520545</v>
      </c>
      <c r="G251" s="290"/>
      <c r="I251" s="84"/>
      <c r="J251" s="84"/>
    </row>
    <row r="252" spans="1:10" ht="13.5" thickBot="1" x14ac:dyDescent="0.25">
      <c r="A252" s="16" t="s">
        <v>50</v>
      </c>
      <c r="B252" s="17" t="s">
        <v>15</v>
      </c>
      <c r="C252" s="305">
        <f>B208+B224</f>
        <v>3303.79</v>
      </c>
      <c r="D252" s="18">
        <f>E251</f>
        <v>0.25052054794520545</v>
      </c>
      <c r="E252" s="18">
        <f>IFERROR(C252*D252,0)</f>
        <v>827.6672810958903</v>
      </c>
      <c r="I252" s="84"/>
      <c r="J252" s="84"/>
    </row>
    <row r="253" spans="1:10" ht="13.5" thickBot="1" x14ac:dyDescent="0.25">
      <c r="A253" s="53"/>
      <c r="B253" s="357"/>
      <c r="C253" s="358"/>
      <c r="D253" s="302"/>
      <c r="E253" s="302"/>
      <c r="F253" s="21">
        <f>E252</f>
        <v>827.6672810958903</v>
      </c>
      <c r="I253" s="84"/>
      <c r="J253" s="84"/>
    </row>
    <row r="254" spans="1:10" x14ac:dyDescent="0.2">
      <c r="A254" s="53"/>
      <c r="B254" s="357"/>
      <c r="C254" s="358"/>
      <c r="D254" s="302"/>
      <c r="E254" s="302"/>
      <c r="I254" s="84"/>
      <c r="J254" s="84"/>
    </row>
    <row r="255" spans="1:10" x14ac:dyDescent="0.2">
      <c r="A255" s="34" t="s">
        <v>70</v>
      </c>
      <c r="B255" s="34"/>
      <c r="C255" s="34"/>
      <c r="D255" s="35"/>
      <c r="E255" s="35"/>
      <c r="F255" s="33"/>
      <c r="I255" s="84"/>
      <c r="J255" s="84"/>
    </row>
    <row r="256" spans="1:10" ht="13.5" thickBot="1" x14ac:dyDescent="0.25">
      <c r="A256" s="7"/>
      <c r="B256" s="7"/>
      <c r="C256" s="7"/>
      <c r="D256" s="290"/>
      <c r="E256" s="290"/>
      <c r="F256" s="290"/>
      <c r="I256" s="84"/>
      <c r="J256" s="84"/>
    </row>
    <row r="257" spans="1:10" ht="13.5" thickBot="1" x14ac:dyDescent="0.25">
      <c r="A257" s="59" t="s">
        <v>59</v>
      </c>
      <c r="B257" s="60" t="s">
        <v>60</v>
      </c>
      <c r="C257" s="60" t="s">
        <v>35</v>
      </c>
      <c r="D257" s="61" t="s">
        <v>210</v>
      </c>
      <c r="E257" s="61" t="s">
        <v>61</v>
      </c>
      <c r="F257" s="62" t="s">
        <v>62</v>
      </c>
      <c r="I257" s="84"/>
      <c r="J257" s="84"/>
    </row>
    <row r="258" spans="1:10" x14ac:dyDescent="0.2">
      <c r="A258" s="299" t="s">
        <v>67</v>
      </c>
      <c r="B258" s="309" t="s">
        <v>7</v>
      </c>
      <c r="C258" s="363">
        <v>8.3333333333333329E-2</v>
      </c>
      <c r="D258" s="307">
        <v>65.78</v>
      </c>
      <c r="E258" s="312">
        <f>C258*D258</f>
        <v>5.4816666666666665</v>
      </c>
      <c r="F258" s="359"/>
      <c r="I258" s="84"/>
      <c r="J258" s="84"/>
    </row>
    <row r="259" spans="1:10" x14ac:dyDescent="0.2">
      <c r="A259" s="299" t="s">
        <v>24</v>
      </c>
      <c r="B259" s="309" t="s">
        <v>7</v>
      </c>
      <c r="C259" s="363">
        <v>0.16666666666666666</v>
      </c>
      <c r="D259" s="307">
        <v>49.96</v>
      </c>
      <c r="E259" s="312">
        <f>C259*D259</f>
        <v>8.3266666666666662</v>
      </c>
      <c r="F259" s="359"/>
      <c r="I259" s="84"/>
      <c r="J259" s="84"/>
    </row>
    <row r="260" spans="1:10" ht="13.5" thickBot="1" x14ac:dyDescent="0.25">
      <c r="A260" s="299" t="s">
        <v>25</v>
      </c>
      <c r="B260" s="309" t="s">
        <v>7</v>
      </c>
      <c r="C260" s="363">
        <v>0.33333333333333331</v>
      </c>
      <c r="D260" s="307">
        <v>21.03</v>
      </c>
      <c r="E260" s="312">
        <f>C260*D260</f>
        <v>7.01</v>
      </c>
      <c r="F260" s="359"/>
      <c r="I260" s="84"/>
      <c r="J260" s="84"/>
    </row>
    <row r="261" spans="1:10" ht="13.5" thickBot="1" x14ac:dyDescent="0.25">
      <c r="A261" s="34"/>
      <c r="B261" s="34"/>
      <c r="C261" s="34"/>
      <c r="D261" s="34"/>
      <c r="E261" s="35"/>
      <c r="F261" s="21">
        <f>SUM(E258:E260)</f>
        <v>20.818333333333335</v>
      </c>
      <c r="I261" s="84"/>
      <c r="J261" s="84"/>
    </row>
    <row r="262" spans="1:10" x14ac:dyDescent="0.2">
      <c r="A262" s="53"/>
      <c r="B262" s="357"/>
      <c r="C262" s="358"/>
      <c r="D262" s="302"/>
      <c r="E262" s="302"/>
      <c r="I262" s="84"/>
      <c r="J262" s="84"/>
    </row>
    <row r="263" spans="1:10" ht="13.5" thickBot="1" x14ac:dyDescent="0.25">
      <c r="A263" s="53"/>
      <c r="B263" s="357"/>
      <c r="C263" s="358"/>
      <c r="D263" s="302"/>
      <c r="E263" s="302"/>
      <c r="I263" s="84"/>
      <c r="J263" s="84"/>
    </row>
    <row r="264" spans="1:10" ht="13.5" thickBot="1" x14ac:dyDescent="0.25">
      <c r="A264" s="24" t="s">
        <v>202</v>
      </c>
      <c r="B264" s="25"/>
      <c r="C264" s="25"/>
      <c r="D264" s="26"/>
      <c r="E264" s="27"/>
      <c r="F264" s="21">
        <f>+SUM(F168:F263)</f>
        <v>20833.769715142691</v>
      </c>
      <c r="G264" s="9"/>
    </row>
    <row r="265" spans="1:10" ht="11.25" customHeight="1" x14ac:dyDescent="0.2">
      <c r="G265" s="9"/>
    </row>
    <row r="266" spans="1:10" hidden="1" x14ac:dyDescent="0.2">
      <c r="A266" s="34" t="s">
        <v>70</v>
      </c>
      <c r="B266" s="34"/>
      <c r="C266" s="34"/>
      <c r="D266" s="35"/>
      <c r="E266" s="35"/>
      <c r="F266" s="33"/>
      <c r="G266" s="9"/>
    </row>
    <row r="267" spans="1:10" ht="11.25" hidden="1" customHeight="1" thickBot="1" x14ac:dyDescent="0.25">
      <c r="G267" s="9"/>
    </row>
    <row r="268" spans="1:10" ht="13.5" hidden="1" thickBot="1" x14ac:dyDescent="0.25">
      <c r="A268" s="59" t="s">
        <v>59</v>
      </c>
      <c r="B268" s="60" t="s">
        <v>60</v>
      </c>
      <c r="C268" s="60" t="s">
        <v>35</v>
      </c>
      <c r="D268" s="61" t="s">
        <v>210</v>
      </c>
      <c r="E268" s="61" t="s">
        <v>61</v>
      </c>
      <c r="F268" s="62" t="s">
        <v>62</v>
      </c>
      <c r="G268" s="9"/>
    </row>
    <row r="269" spans="1:10" hidden="1" x14ac:dyDescent="0.2">
      <c r="A269" s="16" t="s">
        <v>67</v>
      </c>
      <c r="B269" s="17" t="s">
        <v>7</v>
      </c>
      <c r="C269" s="93"/>
      <c r="D269" s="86"/>
      <c r="E269" s="18">
        <f>C269*D269</f>
        <v>0</v>
      </c>
      <c r="F269" s="54"/>
      <c r="G269" s="9"/>
    </row>
    <row r="270" spans="1:10" hidden="1" x14ac:dyDescent="0.2">
      <c r="A270" s="16" t="s">
        <v>24</v>
      </c>
      <c r="B270" s="17" t="s">
        <v>7</v>
      </c>
      <c r="C270" s="93"/>
      <c r="D270" s="86"/>
      <c r="E270" s="18">
        <f>C270*D270</f>
        <v>0</v>
      </c>
      <c r="F270" s="54"/>
      <c r="G270" s="9"/>
    </row>
    <row r="271" spans="1:10" hidden="1" x14ac:dyDescent="0.2">
      <c r="A271" s="16" t="s">
        <v>25</v>
      </c>
      <c r="B271" s="17" t="s">
        <v>7</v>
      </c>
      <c r="C271" s="93"/>
      <c r="D271" s="86"/>
      <c r="E271" s="18">
        <f>C271*D271</f>
        <v>0</v>
      </c>
      <c r="F271" s="54"/>
      <c r="G271" s="9"/>
    </row>
    <row r="272" spans="1:10" hidden="1" x14ac:dyDescent="0.2">
      <c r="A272" s="16" t="s">
        <v>52</v>
      </c>
      <c r="B272" s="17" t="s">
        <v>53</v>
      </c>
      <c r="C272" s="93"/>
      <c r="D272" s="86"/>
      <c r="E272" s="18">
        <f>C272*D272</f>
        <v>0</v>
      </c>
      <c r="F272" s="54"/>
      <c r="G272" s="9"/>
    </row>
    <row r="273" spans="1:7" ht="13.5" hidden="1" thickBot="1" x14ac:dyDescent="0.25">
      <c r="A273" s="16" t="s">
        <v>55</v>
      </c>
      <c r="B273" s="17" t="s">
        <v>53</v>
      </c>
      <c r="C273" s="93"/>
      <c r="D273" s="86"/>
      <c r="E273" s="18">
        <f>C273*D273</f>
        <v>0</v>
      </c>
      <c r="F273" s="54"/>
      <c r="G273" s="9"/>
    </row>
    <row r="274" spans="1:7" ht="13.5" hidden="1" thickBot="1" x14ac:dyDescent="0.25">
      <c r="A274" s="34"/>
      <c r="B274" s="34"/>
      <c r="C274" s="34"/>
      <c r="D274" s="34"/>
      <c r="E274" s="35"/>
      <c r="F274" s="21">
        <f>SUM(E269:E273)</f>
        <v>0</v>
      </c>
      <c r="G274" s="9"/>
    </row>
    <row r="275" spans="1:7" ht="11.25" hidden="1" customHeight="1" thickBot="1" x14ac:dyDescent="0.25">
      <c r="G275" s="9"/>
    </row>
    <row r="276" spans="1:7" ht="13.5" hidden="1" thickBot="1" x14ac:dyDescent="0.25">
      <c r="A276" s="24" t="s">
        <v>203</v>
      </c>
      <c r="B276" s="25"/>
      <c r="C276" s="25"/>
      <c r="D276" s="26"/>
      <c r="E276" s="27"/>
      <c r="F276" s="21">
        <f>+F274</f>
        <v>0</v>
      </c>
      <c r="G276" s="9"/>
    </row>
    <row r="277" spans="1:7" ht="11.25" hidden="1" customHeight="1" x14ac:dyDescent="0.2">
      <c r="G277" s="9"/>
    </row>
    <row r="278" spans="1:7" hidden="1" x14ac:dyDescent="0.2">
      <c r="A278" s="34" t="s">
        <v>71</v>
      </c>
      <c r="B278" s="34"/>
      <c r="C278" s="34"/>
      <c r="D278" s="35"/>
      <c r="E278" s="35"/>
      <c r="F278" s="33"/>
    </row>
    <row r="279" spans="1:7" ht="11.25" hidden="1" customHeight="1" thickBot="1" x14ac:dyDescent="0.25"/>
    <row r="280" spans="1:7" ht="13.5" hidden="1" thickBot="1" x14ac:dyDescent="0.25">
      <c r="A280" s="59" t="s">
        <v>59</v>
      </c>
      <c r="B280" s="60" t="s">
        <v>60</v>
      </c>
      <c r="C280" s="60" t="s">
        <v>35</v>
      </c>
      <c r="D280" s="61" t="s">
        <v>210</v>
      </c>
      <c r="E280" s="61" t="s">
        <v>61</v>
      </c>
      <c r="F280" s="62" t="s">
        <v>62</v>
      </c>
    </row>
    <row r="281" spans="1:7" hidden="1" x14ac:dyDescent="0.2">
      <c r="A281" s="16" t="s">
        <v>200</v>
      </c>
      <c r="B281" s="52" t="s">
        <v>53</v>
      </c>
      <c r="C281" s="68">
        <f>C168</f>
        <v>1</v>
      </c>
      <c r="D281" s="87"/>
      <c r="E281" s="18">
        <f>+D281*C281</f>
        <v>0</v>
      </c>
      <c r="F281" s="54"/>
    </row>
    <row r="282" spans="1:7" hidden="1" x14ac:dyDescent="0.2">
      <c r="A282" s="16" t="s">
        <v>56</v>
      </c>
      <c r="B282" s="52" t="s">
        <v>6</v>
      </c>
      <c r="C282" s="144">
        <v>60</v>
      </c>
      <c r="D282" s="79">
        <f>SUM(E281:E281)</f>
        <v>0</v>
      </c>
      <c r="E282" s="79">
        <f>+D282/C282</f>
        <v>0</v>
      </c>
      <c r="F282" s="54"/>
    </row>
    <row r="283" spans="1:7" hidden="1" x14ac:dyDescent="0.2">
      <c r="A283" s="16" t="s">
        <v>201</v>
      </c>
      <c r="B283" s="17" t="s">
        <v>7</v>
      </c>
      <c r="C283" s="68">
        <f>+C281</f>
        <v>1</v>
      </c>
      <c r="D283" s="87"/>
      <c r="E283" s="18">
        <f>C283*D283</f>
        <v>0</v>
      </c>
      <c r="F283" s="54"/>
    </row>
    <row r="284" spans="1:7" ht="13.5" hidden="1" thickBot="1" x14ac:dyDescent="0.25">
      <c r="A284" s="16" t="s">
        <v>32</v>
      </c>
      <c r="B284" s="52" t="s">
        <v>6</v>
      </c>
      <c r="C284" s="144">
        <v>1</v>
      </c>
      <c r="D284" s="79">
        <f>+E283</f>
        <v>0</v>
      </c>
      <c r="E284" s="79">
        <f>+D284/C284</f>
        <v>0</v>
      </c>
      <c r="F284" s="54"/>
    </row>
    <row r="285" spans="1:7" ht="13.5" hidden="1" thickBot="1" x14ac:dyDescent="0.25">
      <c r="A285" s="80"/>
      <c r="B285" s="80"/>
      <c r="C285" s="80"/>
      <c r="D285" s="114" t="s">
        <v>179</v>
      </c>
      <c r="E285" s="49">
        <f>$B$36</f>
        <v>1</v>
      </c>
      <c r="F285" s="81">
        <f>(E282+E284)*E285</f>
        <v>0</v>
      </c>
    </row>
    <row r="286" spans="1:7" s="50" customFormat="1" ht="11.25" hidden="1" customHeight="1" thickBot="1" x14ac:dyDescent="0.25">
      <c r="A286" s="9"/>
      <c r="B286" s="9"/>
      <c r="C286" s="9"/>
      <c r="D286" s="10"/>
      <c r="E286" s="10"/>
      <c r="F286" s="10"/>
      <c r="G286" s="83"/>
    </row>
    <row r="287" spans="1:7" ht="13.5" hidden="1" thickBot="1" x14ac:dyDescent="0.25">
      <c r="A287" s="24" t="s">
        <v>199</v>
      </c>
      <c r="B287" s="25"/>
      <c r="C287" s="25"/>
      <c r="D287" s="26"/>
      <c r="E287" s="27"/>
      <c r="F287" s="21">
        <f>+F285</f>
        <v>0</v>
      </c>
    </row>
    <row r="288" spans="1:7" ht="11.25" customHeight="1" thickBot="1" x14ac:dyDescent="0.25"/>
    <row r="289" spans="1:6" ht="17.25" customHeight="1" thickBot="1" x14ac:dyDescent="0.25">
      <c r="A289" s="24" t="s">
        <v>204</v>
      </c>
      <c r="B289" s="28"/>
      <c r="C289" s="28"/>
      <c r="D289" s="29"/>
      <c r="E289" s="30"/>
      <c r="F289" s="22">
        <f>F93+F126+F264</f>
        <v>35048.447069809357</v>
      </c>
    </row>
    <row r="290" spans="1:6" ht="17.25" customHeight="1" x14ac:dyDescent="0.2">
      <c r="A290" s="34"/>
      <c r="B290" s="53"/>
      <c r="C290" s="53"/>
      <c r="D290" s="58"/>
      <c r="E290" s="58"/>
      <c r="F290" s="23"/>
    </row>
    <row r="291" spans="1:6" ht="17.25" customHeight="1" x14ac:dyDescent="0.2">
      <c r="A291" s="34"/>
      <c r="B291" s="53"/>
      <c r="C291" s="53"/>
      <c r="D291" s="58"/>
      <c r="E291" s="58"/>
      <c r="F291" s="23"/>
    </row>
    <row r="292" spans="1:6" x14ac:dyDescent="0.2">
      <c r="A292" s="11" t="s">
        <v>304</v>
      </c>
    </row>
    <row r="293" spans="1:6" ht="11.25" customHeight="1" thickBot="1" x14ac:dyDescent="0.25"/>
    <row r="294" spans="1:6" ht="13.5" thickBot="1" x14ac:dyDescent="0.25">
      <c r="A294" s="59" t="s">
        <v>59</v>
      </c>
      <c r="B294" s="60" t="s">
        <v>60</v>
      </c>
      <c r="C294" s="60" t="s">
        <v>35</v>
      </c>
      <c r="D294" s="61" t="s">
        <v>210</v>
      </c>
      <c r="E294" s="61" t="s">
        <v>61</v>
      </c>
      <c r="F294" s="62" t="s">
        <v>62</v>
      </c>
    </row>
    <row r="295" spans="1:6" ht="13.5" thickBot="1" x14ac:dyDescent="0.25">
      <c r="A295" s="13" t="s">
        <v>31</v>
      </c>
      <c r="B295" s="14" t="s">
        <v>1</v>
      </c>
      <c r="C295" s="131">
        <f>'5.BDI'!C21*100</f>
        <v>31.64</v>
      </c>
      <c r="D295" s="15">
        <f>+F289</f>
        <v>35048.447069809357</v>
      </c>
      <c r="E295" s="15">
        <f>C295*D295/100</f>
        <v>11089.328652887682</v>
      </c>
    </row>
    <row r="296" spans="1:6" ht="13.5" thickBot="1" x14ac:dyDescent="0.25">
      <c r="F296" s="21">
        <f>+E295</f>
        <v>11089.328652887682</v>
      </c>
    </row>
    <row r="297" spans="1:6" ht="11.25" customHeight="1" thickBot="1" x14ac:dyDescent="0.25"/>
    <row r="298" spans="1:6" ht="13.5" thickBot="1" x14ac:dyDescent="0.25">
      <c r="A298" s="24" t="s">
        <v>215</v>
      </c>
      <c r="B298" s="28"/>
      <c r="C298" s="28"/>
      <c r="D298" s="29"/>
      <c r="E298" s="30"/>
      <c r="F298" s="22">
        <f>F296</f>
        <v>11089.328652887682</v>
      </c>
    </row>
    <row r="299" spans="1:6" x14ac:dyDescent="0.2">
      <c r="A299" s="34"/>
      <c r="B299" s="34"/>
      <c r="C299" s="34"/>
      <c r="D299" s="35"/>
      <c r="E299" s="35"/>
      <c r="F299" s="33"/>
    </row>
    <row r="300" spans="1:6" ht="11.25" customHeight="1" thickBot="1" x14ac:dyDescent="0.25"/>
    <row r="301" spans="1:6" ht="24.75" customHeight="1" thickBot="1" x14ac:dyDescent="0.25">
      <c r="A301" s="24" t="s">
        <v>205</v>
      </c>
      <c r="B301" s="28"/>
      <c r="C301" s="28"/>
      <c r="D301" s="29"/>
      <c r="E301" s="30"/>
      <c r="F301" s="22">
        <f>F289+F298</f>
        <v>46137.775722697043</v>
      </c>
    </row>
    <row r="302" spans="1:6" ht="12.6" customHeight="1" x14ac:dyDescent="0.2">
      <c r="A302" s="55"/>
      <c r="B302" s="55"/>
      <c r="C302" s="55"/>
      <c r="D302" s="56"/>
      <c r="E302" s="56"/>
      <c r="F302" s="56"/>
    </row>
    <row r="304" spans="1:6" ht="12.6" customHeight="1" x14ac:dyDescent="0.2">
      <c r="A304" s="34"/>
      <c r="B304" s="34"/>
      <c r="C304" s="34"/>
      <c r="D304" s="35"/>
      <c r="E304" s="35"/>
      <c r="F304" s="35"/>
    </row>
    <row r="305" spans="1:7" s="4" customFormat="1" ht="9.75" customHeight="1" x14ac:dyDescent="0.2">
      <c r="A305" s="38"/>
      <c r="B305" s="10"/>
      <c r="C305" s="10"/>
      <c r="D305" s="10"/>
      <c r="E305" s="10"/>
      <c r="F305" s="10"/>
      <c r="G305" s="6"/>
    </row>
    <row r="306" spans="1:7" s="4" customFormat="1" ht="9.75" customHeight="1" x14ac:dyDescent="0.2">
      <c r="A306" s="38"/>
      <c r="B306" s="10"/>
      <c r="C306" s="10"/>
      <c r="D306" s="10"/>
      <c r="E306" s="10"/>
      <c r="F306" s="10"/>
      <c r="G306" s="6"/>
    </row>
    <row r="307" spans="1:7" s="4" customFormat="1" ht="9.75" customHeight="1" x14ac:dyDescent="0.2">
      <c r="A307" s="38"/>
      <c r="B307" s="10"/>
      <c r="C307" s="10"/>
      <c r="D307" s="10"/>
      <c r="E307" s="10"/>
      <c r="F307" s="10"/>
      <c r="G307" s="6"/>
    </row>
    <row r="337" spans="4:7" ht="9" customHeight="1" x14ac:dyDescent="0.2">
      <c r="D337" s="9"/>
      <c r="E337" s="9"/>
      <c r="F337" s="9"/>
      <c r="G337" s="9"/>
    </row>
  </sheetData>
  <mergeCells count="7">
    <mergeCell ref="A32:D32"/>
    <mergeCell ref="A12:C12"/>
    <mergeCell ref="A3:F3"/>
    <mergeCell ref="A4:F4"/>
    <mergeCell ref="A27:D27"/>
    <mergeCell ref="A6:F6"/>
    <mergeCell ref="A26:E26"/>
  </mergeCells>
  <phoneticPr fontId="9" type="noConversion"/>
  <hyperlinks>
    <hyperlink ref="A182" location="AbaRemun" display="3.1.2. Remuneração do Capital"/>
    <hyperlink ref="A166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55" fitToHeight="0" orientation="portrait" r:id="rId1"/>
  <headerFooter alignWithMargins="0">
    <oddFooter>&amp;R&amp;P de &amp;N</oddFooter>
  </headerFooter>
  <rowBreaks count="3" manualBreakCount="3">
    <brk id="37" max="5" man="1"/>
    <brk id="161" max="5" man="1"/>
    <brk id="245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22" zoomScaleNormal="100" workbookViewId="0">
      <selection activeCell="D31" sqref="D31"/>
    </sheetView>
  </sheetViews>
  <sheetFormatPr defaultColWidth="9.140625"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47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187</v>
      </c>
    </row>
    <row r="2" spans="1:12" x14ac:dyDescent="0.2">
      <c r="A2" s="130" t="s">
        <v>221</v>
      </c>
    </row>
    <row r="3" spans="1:12" s="4" customFormat="1" ht="15.6" customHeight="1" x14ac:dyDescent="0.2">
      <c r="B3" s="129"/>
      <c r="C3" s="129"/>
      <c r="D3" s="129"/>
      <c r="E3" s="129"/>
      <c r="F3" s="129"/>
      <c r="G3" s="6"/>
    </row>
    <row r="4" spans="1:12" s="4" customFormat="1" ht="15.6" customHeight="1" x14ac:dyDescent="0.2">
      <c r="A4" s="281" t="s">
        <v>257</v>
      </c>
      <c r="B4" s="129"/>
      <c r="C4" s="129"/>
      <c r="D4" s="129"/>
      <c r="E4" s="129"/>
      <c r="F4" s="129"/>
      <c r="G4" s="6"/>
    </row>
    <row r="5" spans="1:12" s="4" customFormat="1" ht="16.5" customHeight="1" x14ac:dyDescent="0.2">
      <c r="A5" s="281" t="s">
        <v>254</v>
      </c>
      <c r="B5" s="5"/>
      <c r="C5" s="5"/>
      <c r="D5" s="6"/>
      <c r="E5" s="6"/>
      <c r="F5" s="6"/>
      <c r="G5" s="6"/>
    </row>
    <row r="6" spans="1:12" ht="13.5" thickBot="1" x14ac:dyDescent="0.25"/>
    <row r="7" spans="1:12" ht="18" x14ac:dyDescent="0.2">
      <c r="A7" s="448" t="s">
        <v>208</v>
      </c>
      <c r="B7" s="449"/>
      <c r="C7" s="450"/>
      <c r="D7" s="139"/>
      <c r="E7" s="139"/>
      <c r="F7" s="139"/>
    </row>
    <row r="8" spans="1:12" ht="14.25" x14ac:dyDescent="0.2">
      <c r="A8" s="158" t="s">
        <v>126</v>
      </c>
      <c r="B8" s="159" t="s">
        <v>127</v>
      </c>
      <c r="C8" s="160" t="s">
        <v>128</v>
      </c>
      <c r="D8" s="161"/>
    </row>
    <row r="9" spans="1:12" ht="14.25" x14ac:dyDescent="0.2">
      <c r="A9" s="158" t="s">
        <v>129</v>
      </c>
      <c r="B9" s="159" t="s">
        <v>36</v>
      </c>
      <c r="C9" s="162">
        <v>0.2</v>
      </c>
      <c r="D9" s="161"/>
      <c r="F9" s="147"/>
      <c r="G9" s="147"/>
      <c r="H9" s="147"/>
      <c r="I9" s="147"/>
      <c r="J9" s="147"/>
      <c r="K9" s="147"/>
      <c r="L9" s="147"/>
    </row>
    <row r="10" spans="1:12" ht="14.25" x14ac:dyDescent="0.2">
      <c r="A10" s="158" t="s">
        <v>130</v>
      </c>
      <c r="B10" s="159" t="s">
        <v>131</v>
      </c>
      <c r="C10" s="162">
        <v>1.4999999999999999E-2</v>
      </c>
      <c r="D10" s="161"/>
      <c r="F10" s="147"/>
      <c r="G10" s="147"/>
      <c r="H10" s="147"/>
      <c r="I10" s="147"/>
      <c r="J10" s="147"/>
      <c r="K10" s="147"/>
      <c r="L10" s="147"/>
    </row>
    <row r="11" spans="1:12" ht="14.25" x14ac:dyDescent="0.2">
      <c r="A11" s="158" t="s">
        <v>132</v>
      </c>
      <c r="B11" s="159" t="s">
        <v>133</v>
      </c>
      <c r="C11" s="162">
        <v>0.01</v>
      </c>
      <c r="D11" s="161"/>
      <c r="F11" s="147"/>
      <c r="G11" s="147"/>
      <c r="H11" s="147"/>
      <c r="I11" s="147"/>
      <c r="J11" s="147"/>
      <c r="K11" s="147"/>
      <c r="L11" s="147"/>
    </row>
    <row r="12" spans="1:12" ht="14.25" x14ac:dyDescent="0.2">
      <c r="A12" s="158" t="s">
        <v>134</v>
      </c>
      <c r="B12" s="159" t="s">
        <v>135</v>
      </c>
      <c r="C12" s="162">
        <v>2E-3</v>
      </c>
      <c r="D12" s="161"/>
      <c r="F12" s="147"/>
      <c r="G12" s="147"/>
      <c r="H12" s="147"/>
      <c r="I12" s="147"/>
      <c r="J12" s="147"/>
      <c r="K12" s="147"/>
      <c r="L12" s="147"/>
    </row>
    <row r="13" spans="1:12" ht="14.25" x14ac:dyDescent="0.2">
      <c r="A13" s="158" t="s">
        <v>136</v>
      </c>
      <c r="B13" s="159" t="s">
        <v>137</v>
      </c>
      <c r="C13" s="162">
        <v>6.0000000000000001E-3</v>
      </c>
      <c r="D13" s="161"/>
      <c r="F13" s="147"/>
      <c r="G13" s="147"/>
      <c r="H13" s="147"/>
      <c r="I13" s="147"/>
      <c r="J13" s="147"/>
      <c r="K13" s="147"/>
      <c r="L13" s="147"/>
    </row>
    <row r="14" spans="1:12" ht="14.25" x14ac:dyDescent="0.2">
      <c r="A14" s="158" t="s">
        <v>138</v>
      </c>
      <c r="B14" s="159" t="s">
        <v>139</v>
      </c>
      <c r="C14" s="162">
        <v>2.5000000000000001E-2</v>
      </c>
      <c r="D14" s="161"/>
      <c r="F14" s="147"/>
      <c r="G14" s="147"/>
      <c r="H14" s="147"/>
      <c r="I14" s="147"/>
      <c r="J14" s="147"/>
      <c r="K14" s="147"/>
      <c r="L14" s="147"/>
    </row>
    <row r="15" spans="1:12" ht="14.25" x14ac:dyDescent="0.2">
      <c r="A15" s="158" t="s">
        <v>140</v>
      </c>
      <c r="B15" s="159" t="s">
        <v>141</v>
      </c>
      <c r="C15" s="162">
        <v>0.03</v>
      </c>
      <c r="D15" s="161"/>
      <c r="F15" s="147"/>
      <c r="G15" s="147"/>
      <c r="H15" s="147"/>
      <c r="I15" s="147"/>
      <c r="J15" s="147"/>
      <c r="K15" s="147"/>
      <c r="L15" s="147"/>
    </row>
    <row r="16" spans="1:12" ht="14.25" x14ac:dyDescent="0.2">
      <c r="A16" s="158" t="s">
        <v>142</v>
      </c>
      <c r="B16" s="159" t="s">
        <v>37</v>
      </c>
      <c r="C16" s="162">
        <v>0.08</v>
      </c>
      <c r="D16" s="163"/>
      <c r="F16" s="147"/>
      <c r="G16" s="147"/>
      <c r="H16" s="147"/>
      <c r="I16" s="147"/>
      <c r="J16" s="147"/>
      <c r="K16" s="147"/>
      <c r="L16" s="147"/>
    </row>
    <row r="17" spans="1:12" ht="15" x14ac:dyDescent="0.2">
      <c r="A17" s="158" t="s">
        <v>143</v>
      </c>
      <c r="B17" s="164" t="s">
        <v>144</v>
      </c>
      <c r="C17" s="165">
        <f>SUM(C9:C16)</f>
        <v>0.36800000000000005</v>
      </c>
      <c r="D17" s="163"/>
      <c r="F17" s="147"/>
      <c r="G17" s="147"/>
      <c r="H17" s="147"/>
      <c r="I17" s="147"/>
      <c r="J17" s="147"/>
      <c r="K17" s="147"/>
      <c r="L17" s="147"/>
    </row>
    <row r="18" spans="1:12" ht="15" x14ac:dyDescent="0.2">
      <c r="A18" s="166"/>
      <c r="B18" s="167"/>
      <c r="C18" s="168"/>
      <c r="D18" s="163"/>
      <c r="F18" s="147"/>
      <c r="G18" s="147"/>
      <c r="H18" s="147"/>
      <c r="I18" s="147"/>
      <c r="J18" s="147"/>
      <c r="K18" s="147"/>
      <c r="L18" s="147"/>
    </row>
    <row r="19" spans="1:12" ht="14.25" x14ac:dyDescent="0.2">
      <c r="A19" s="158" t="s">
        <v>145</v>
      </c>
      <c r="B19" s="169" t="s">
        <v>146</v>
      </c>
      <c r="C19" s="162">
        <f>ROUND(IF('3.CAGED'!C28&gt;24,(1-12/'3.CAGED'!C28)*0.1111,0.1111-C28),4)</f>
        <v>6.1899999999999997E-2</v>
      </c>
      <c r="D19" s="163"/>
      <c r="F19" s="147"/>
      <c r="G19" s="147"/>
      <c r="H19" s="147"/>
      <c r="I19" s="147"/>
      <c r="J19" s="147"/>
      <c r="K19" s="147"/>
      <c r="L19" s="147"/>
    </row>
    <row r="20" spans="1:12" ht="14.25" x14ac:dyDescent="0.2">
      <c r="A20" s="158" t="s">
        <v>147</v>
      </c>
      <c r="B20" s="169" t="s">
        <v>148</v>
      </c>
      <c r="C20" s="162">
        <f>ROUND('3.CAGED'!C32/'3.CAGED'!C29,4)</f>
        <v>8.3299999999999999E-2</v>
      </c>
      <c r="D20" s="163"/>
      <c r="F20" s="147"/>
      <c r="G20" s="147"/>
      <c r="H20" s="147"/>
      <c r="I20" s="147"/>
      <c r="J20" s="147"/>
      <c r="K20" s="147"/>
      <c r="L20" s="147"/>
    </row>
    <row r="21" spans="1:12" ht="14.25" x14ac:dyDescent="0.2">
      <c r="A21" s="158" t="s">
        <v>198</v>
      </c>
      <c r="B21" s="169" t="s">
        <v>150</v>
      </c>
      <c r="C21" s="162">
        <v>5.9999999999999995E-4</v>
      </c>
      <c r="D21" s="163"/>
      <c r="F21" s="147"/>
      <c r="G21" s="147"/>
      <c r="H21" s="147"/>
      <c r="I21" s="147"/>
      <c r="J21" s="147"/>
      <c r="K21" s="147"/>
      <c r="L21" s="147"/>
    </row>
    <row r="22" spans="1:12" ht="14.25" x14ac:dyDescent="0.2">
      <c r="A22" s="158" t="s">
        <v>149</v>
      </c>
      <c r="B22" s="169" t="s">
        <v>152</v>
      </c>
      <c r="C22" s="162">
        <v>8.2000000000000007E-3</v>
      </c>
      <c r="D22" s="163"/>
      <c r="F22" s="147"/>
      <c r="G22" s="147"/>
      <c r="H22" s="147"/>
      <c r="I22" s="147"/>
      <c r="J22" s="147"/>
      <c r="K22" s="147"/>
      <c r="L22" s="147"/>
    </row>
    <row r="23" spans="1:12" ht="14.25" x14ac:dyDescent="0.2">
      <c r="A23" s="158" t="s">
        <v>151</v>
      </c>
      <c r="B23" s="169" t="s">
        <v>154</v>
      </c>
      <c r="C23" s="162">
        <v>3.0999999999999999E-3</v>
      </c>
      <c r="D23" s="163"/>
      <c r="F23" s="147"/>
      <c r="G23" s="147"/>
      <c r="H23" s="147"/>
      <c r="I23" s="147"/>
      <c r="J23" s="147"/>
      <c r="K23" s="147"/>
      <c r="L23" s="147"/>
    </row>
    <row r="24" spans="1:12" ht="14.25" x14ac:dyDescent="0.2">
      <c r="A24" s="158" t="s">
        <v>153</v>
      </c>
      <c r="B24" s="169" t="s">
        <v>155</v>
      </c>
      <c r="C24" s="162">
        <v>1.66E-2</v>
      </c>
      <c r="D24" s="163"/>
      <c r="F24" s="147"/>
      <c r="G24" s="147"/>
      <c r="H24" s="147"/>
      <c r="I24" s="147"/>
      <c r="J24" s="147"/>
      <c r="K24" s="147"/>
      <c r="L24" s="147"/>
    </row>
    <row r="25" spans="1:12" ht="15" x14ac:dyDescent="0.2">
      <c r="A25" s="158" t="s">
        <v>156</v>
      </c>
      <c r="B25" s="164" t="s">
        <v>157</v>
      </c>
      <c r="C25" s="165">
        <f>SUM(C19:C24)</f>
        <v>0.17369999999999999</v>
      </c>
      <c r="D25" s="170"/>
      <c r="F25" s="147"/>
      <c r="G25" s="147"/>
      <c r="H25" s="147"/>
      <c r="I25" s="147"/>
      <c r="J25" s="147"/>
      <c r="K25" s="147"/>
      <c r="L25" s="147"/>
    </row>
    <row r="26" spans="1:12" ht="15" x14ac:dyDescent="0.2">
      <c r="A26" s="166"/>
      <c r="B26" s="167"/>
      <c r="C26" s="168"/>
      <c r="D26" s="170"/>
      <c r="F26" s="147"/>
      <c r="G26" s="147"/>
      <c r="H26" s="147"/>
      <c r="I26" s="147"/>
      <c r="J26" s="147"/>
      <c r="K26" s="147"/>
      <c r="L26" s="147"/>
    </row>
    <row r="27" spans="1:12" ht="14.25" x14ac:dyDescent="0.2">
      <c r="A27" s="158" t="s">
        <v>158</v>
      </c>
      <c r="B27" s="159" t="s">
        <v>159</v>
      </c>
      <c r="C27" s="162">
        <f>ROUND(('3.CAGED'!C33) *'3.CAGED'!C26/'3.CAGED'!C29,4)</f>
        <v>2.5600000000000001E-2</v>
      </c>
      <c r="D27" s="163"/>
      <c r="E27" s="171"/>
      <c r="F27" s="147"/>
      <c r="G27" s="147"/>
      <c r="H27" s="147"/>
      <c r="I27" s="147"/>
      <c r="J27" s="147"/>
      <c r="K27" s="147"/>
      <c r="L27" s="147"/>
    </row>
    <row r="28" spans="1:12" ht="14.25" x14ac:dyDescent="0.2">
      <c r="A28" s="158" t="s">
        <v>197</v>
      </c>
      <c r="B28" s="159" t="s">
        <v>161</v>
      </c>
      <c r="C28" s="162">
        <f>ROUND(IF('3.CAGED'!C28&gt;12,12/'3.CAGED'!C28*0.1111,0.1111),4)</f>
        <v>4.9200000000000001E-2</v>
      </c>
      <c r="D28" s="163"/>
      <c r="F28" s="147"/>
      <c r="G28" s="147"/>
      <c r="H28" s="172"/>
      <c r="I28" s="147"/>
      <c r="J28" s="147"/>
      <c r="K28" s="147"/>
      <c r="L28" s="147"/>
    </row>
    <row r="29" spans="1:12" ht="14.25" x14ac:dyDescent="0.2">
      <c r="A29" s="158" t="s">
        <v>160</v>
      </c>
      <c r="B29" s="159" t="s">
        <v>163</v>
      </c>
      <c r="C29" s="162">
        <f>C27*C28</f>
        <v>1.2595200000000001E-3</v>
      </c>
      <c r="D29" s="163"/>
      <c r="E29" s="171"/>
      <c r="F29" s="147"/>
      <c r="G29" s="147"/>
      <c r="H29" s="147"/>
      <c r="I29" s="147"/>
      <c r="J29" s="147"/>
      <c r="K29" s="147"/>
      <c r="L29" s="147"/>
    </row>
    <row r="30" spans="1:12" ht="14.25" x14ac:dyDescent="0.2">
      <c r="A30" s="158" t="s">
        <v>162</v>
      </c>
      <c r="B30" s="159" t="s">
        <v>165</v>
      </c>
      <c r="C30" s="162">
        <f>ROUND(('3.CAGED'!C29+'3.CAGED'!C30+'3.CAGED'!C32)/'3.CAGED'!C27*'3.CAGED'!C34*'3.CAGED'!C35*'3.CAGED'!C26/'3.CAGED'!C29,4)</f>
        <v>2.0500000000000001E-2</v>
      </c>
      <c r="D30" s="163"/>
      <c r="F30" s="147"/>
      <c r="G30" s="173"/>
      <c r="H30" s="147"/>
      <c r="I30" s="147"/>
      <c r="J30" s="147"/>
      <c r="K30" s="147"/>
      <c r="L30" s="147"/>
    </row>
    <row r="31" spans="1:12" ht="14.25" x14ac:dyDescent="0.2">
      <c r="A31" s="158" t="s">
        <v>164</v>
      </c>
      <c r="B31" s="159" t="s">
        <v>166</v>
      </c>
      <c r="C31" s="162">
        <f>ROUND(('3.CAGED'!C31/'3.CAGED'!C29)*'3.CAGED'!C26/12,4)</f>
        <v>1.8E-3</v>
      </c>
      <c r="D31" s="163"/>
      <c r="F31" s="147"/>
      <c r="G31" s="147"/>
      <c r="H31" s="147"/>
      <c r="I31" s="147"/>
      <c r="J31" s="147"/>
      <c r="K31" s="147"/>
      <c r="L31" s="147"/>
    </row>
    <row r="32" spans="1:12" ht="15" x14ac:dyDescent="0.2">
      <c r="A32" s="158" t="s">
        <v>167</v>
      </c>
      <c r="B32" s="164" t="s">
        <v>168</v>
      </c>
      <c r="C32" s="165">
        <f>SUM(C27:C31)</f>
        <v>9.8359520000000006E-2</v>
      </c>
      <c r="D32" s="170"/>
      <c r="F32" s="147"/>
      <c r="G32" s="147"/>
      <c r="H32" s="147"/>
      <c r="I32" s="147"/>
      <c r="J32" s="147"/>
      <c r="K32" s="147"/>
      <c r="L32" s="147"/>
    </row>
    <row r="33" spans="1:12" ht="15" x14ac:dyDescent="0.2">
      <c r="A33" s="166"/>
      <c r="B33" s="167"/>
      <c r="C33" s="168"/>
      <c r="D33" s="170"/>
      <c r="F33" s="147"/>
      <c r="G33" s="147"/>
      <c r="H33" s="147"/>
      <c r="I33" s="147"/>
      <c r="J33" s="147"/>
      <c r="K33" s="147"/>
      <c r="L33" s="147"/>
    </row>
    <row r="34" spans="1:12" ht="14.25" x14ac:dyDescent="0.2">
      <c r="A34" s="158" t="s">
        <v>169</v>
      </c>
      <c r="B34" s="159" t="s">
        <v>170</v>
      </c>
      <c r="C34" s="162">
        <f>ROUND(C17*C25,4)</f>
        <v>6.3899999999999998E-2</v>
      </c>
      <c r="D34" s="163"/>
      <c r="F34" s="147"/>
      <c r="G34" s="147"/>
      <c r="H34" s="147"/>
      <c r="I34" s="147"/>
      <c r="J34" s="147"/>
      <c r="K34" s="147"/>
      <c r="L34" s="147"/>
    </row>
    <row r="35" spans="1:12" ht="28.5" x14ac:dyDescent="0.2">
      <c r="A35" s="158" t="s">
        <v>171</v>
      </c>
      <c r="B35" s="174" t="s">
        <v>253</v>
      </c>
      <c r="C35" s="162">
        <f>ROUND((C27*C16),4)</f>
        <v>2E-3</v>
      </c>
      <c r="D35" s="163"/>
      <c r="F35" s="147"/>
      <c r="G35" s="147"/>
      <c r="H35" s="147"/>
      <c r="I35" s="147"/>
      <c r="J35" s="147"/>
      <c r="K35" s="147"/>
      <c r="L35" s="147"/>
    </row>
    <row r="36" spans="1:12" ht="15" x14ac:dyDescent="0.2">
      <c r="A36" s="158" t="s">
        <v>172</v>
      </c>
      <c r="B36" s="164" t="s">
        <v>173</v>
      </c>
      <c r="C36" s="165">
        <f>SUM(C34:C35)</f>
        <v>6.59E-2</v>
      </c>
      <c r="D36" s="175"/>
      <c r="F36" s="147"/>
      <c r="G36" s="147"/>
      <c r="H36" s="147"/>
      <c r="I36" s="147"/>
      <c r="J36" s="147"/>
      <c r="K36" s="147"/>
      <c r="L36" s="147"/>
    </row>
    <row r="37" spans="1:12" ht="15.75" thickBot="1" x14ac:dyDescent="0.25">
      <c r="A37" s="176"/>
      <c r="B37" s="177" t="s">
        <v>174</v>
      </c>
      <c r="C37" s="178">
        <f>C36+C32+C25+C17</f>
        <v>0.70595951999999995</v>
      </c>
      <c r="D37" s="175"/>
      <c r="F37" s="147"/>
      <c r="G37" s="147"/>
      <c r="H37" s="147"/>
      <c r="I37" s="147"/>
      <c r="J37" s="147"/>
      <c r="K37" s="147"/>
      <c r="L37" s="147"/>
    </row>
    <row r="38" spans="1:12" ht="15" x14ac:dyDescent="0.2">
      <c r="A38" s="163"/>
      <c r="B38" s="179"/>
      <c r="C38" s="180"/>
      <c r="D38" s="181"/>
      <c r="F38" s="147"/>
      <c r="G38" s="147"/>
      <c r="H38" s="147"/>
      <c r="I38" s="147"/>
      <c r="J38" s="147"/>
      <c r="K38" s="147"/>
      <c r="L38" s="147"/>
    </row>
    <row r="39" spans="1:12" ht="14.25" x14ac:dyDescent="0.2">
      <c r="A39" s="163"/>
      <c r="B39" s="163"/>
      <c r="C39" s="182"/>
      <c r="D39" s="183"/>
      <c r="F39" s="147"/>
      <c r="G39" s="147"/>
      <c r="H39" s="147"/>
      <c r="I39" s="147"/>
      <c r="J39" s="147"/>
      <c r="K39" s="147"/>
      <c r="L39" s="147"/>
    </row>
    <row r="40" spans="1:12" ht="14.25" x14ac:dyDescent="0.2">
      <c r="A40" s="161"/>
      <c r="B40" s="161"/>
      <c r="C40" s="184"/>
      <c r="D40" s="161"/>
      <c r="F40" s="147"/>
      <c r="G40" s="147"/>
      <c r="H40" s="147"/>
      <c r="I40" s="147"/>
      <c r="J40" s="147"/>
      <c r="K40" s="147"/>
      <c r="L40" s="147"/>
    </row>
    <row r="41" spans="1:12" ht="14.25" x14ac:dyDescent="0.2">
      <c r="A41" s="161"/>
      <c r="B41" s="161"/>
      <c r="C41" s="184"/>
      <c r="D41" s="161"/>
      <c r="F41" s="147"/>
      <c r="G41" s="147"/>
      <c r="H41" s="147"/>
      <c r="I41" s="147"/>
      <c r="J41" s="147"/>
      <c r="K41" s="147"/>
      <c r="L41" s="147"/>
    </row>
    <row r="42" spans="1:12" ht="14.25" x14ac:dyDescent="0.2">
      <c r="A42" s="161"/>
      <c r="B42" s="161"/>
      <c r="C42" s="184"/>
      <c r="D42" s="161"/>
      <c r="F42" s="147"/>
      <c r="G42" s="147"/>
      <c r="H42" s="147"/>
      <c r="I42" s="147"/>
      <c r="J42" s="147"/>
      <c r="K42" s="147"/>
      <c r="L42" s="147"/>
    </row>
    <row r="43" spans="1:12" ht="15" x14ac:dyDescent="0.2">
      <c r="A43" s="161"/>
      <c r="B43" s="185"/>
      <c r="C43" s="186"/>
      <c r="D43" s="161"/>
      <c r="F43" s="147"/>
      <c r="G43" s="147"/>
      <c r="H43" s="147"/>
      <c r="I43" s="147"/>
      <c r="J43" s="147"/>
      <c r="K43" s="147"/>
      <c r="L43" s="147"/>
    </row>
    <row r="44" spans="1:12" ht="15" x14ac:dyDescent="0.2">
      <c r="A44" s="175"/>
      <c r="B44" s="185"/>
      <c r="C44" s="186"/>
      <c r="D44" s="175"/>
      <c r="E44" s="147"/>
      <c r="F44" s="147"/>
      <c r="G44" s="147"/>
      <c r="H44" s="147"/>
      <c r="I44" s="147"/>
      <c r="J44" s="147"/>
      <c r="K44" s="147"/>
      <c r="L44" s="147"/>
    </row>
    <row r="45" spans="1:12" ht="16.5" x14ac:dyDescent="0.2">
      <c r="A45" s="187"/>
      <c r="B45" s="147"/>
      <c r="C45" s="147"/>
      <c r="E45" s="147"/>
      <c r="F45" s="147"/>
      <c r="G45" s="147"/>
      <c r="H45" s="147"/>
      <c r="I45" s="147"/>
      <c r="J45" s="147"/>
      <c r="K45" s="147"/>
      <c r="L45" s="147"/>
    </row>
    <row r="46" spans="1:12" x14ac:dyDescent="0.2">
      <c r="A46" s="188"/>
      <c r="B46" s="189"/>
      <c r="C46" s="189"/>
      <c r="E46" s="147"/>
      <c r="F46" s="147"/>
      <c r="G46" s="147"/>
      <c r="H46" s="147"/>
      <c r="I46" s="147"/>
      <c r="J46" s="147"/>
      <c r="K46" s="147"/>
      <c r="L46" s="147"/>
    </row>
    <row r="47" spans="1:12" ht="14.25" x14ac:dyDescent="0.2">
      <c r="A47" s="161"/>
      <c r="B47" s="190"/>
      <c r="C47" s="189"/>
      <c r="E47" s="147"/>
      <c r="F47" s="147"/>
      <c r="G47" s="147"/>
      <c r="H47" s="147"/>
      <c r="I47" s="147"/>
      <c r="J47" s="147"/>
      <c r="K47" s="147"/>
      <c r="L47" s="147"/>
    </row>
    <row r="48" spans="1:12" ht="14.25" x14ac:dyDescent="0.2">
      <c r="A48" s="161"/>
      <c r="B48" s="190"/>
      <c r="C48" s="161"/>
      <c r="E48" s="147"/>
      <c r="F48" s="147"/>
      <c r="G48" s="147"/>
      <c r="H48" s="147"/>
      <c r="I48" s="147"/>
      <c r="J48" s="147"/>
      <c r="K48" s="147"/>
      <c r="L48" s="147"/>
    </row>
    <row r="49" spans="1:12" ht="14.25" x14ac:dyDescent="0.2">
      <c r="A49" s="161"/>
      <c r="B49" s="184"/>
      <c r="C49" s="189"/>
      <c r="E49" s="147"/>
      <c r="F49" s="147"/>
      <c r="G49" s="147"/>
      <c r="H49" s="147"/>
      <c r="I49" s="147"/>
      <c r="J49" s="147"/>
      <c r="K49" s="147"/>
      <c r="L49" s="147"/>
    </row>
    <row r="50" spans="1:12" ht="14.25" x14ac:dyDescent="0.2">
      <c r="A50" s="161"/>
      <c r="B50" s="190"/>
      <c r="C50" s="161"/>
      <c r="E50" s="147"/>
      <c r="F50" s="147"/>
      <c r="G50" s="147"/>
      <c r="H50" s="147"/>
      <c r="I50" s="147"/>
      <c r="J50" s="147"/>
      <c r="K50" s="147"/>
      <c r="L50" s="147"/>
    </row>
    <row r="51" spans="1:12" ht="14.25" x14ac:dyDescent="0.2">
      <c r="A51" s="161"/>
      <c r="B51" s="184"/>
      <c r="C51" s="189"/>
      <c r="E51" s="147"/>
      <c r="F51" s="147"/>
      <c r="G51" s="147"/>
      <c r="H51" s="147"/>
      <c r="I51" s="147"/>
      <c r="J51" s="147"/>
      <c r="K51" s="147"/>
      <c r="L51" s="147"/>
    </row>
    <row r="52" spans="1:12" ht="14.25" x14ac:dyDescent="0.2">
      <c r="A52" s="161"/>
      <c r="B52" s="190"/>
      <c r="C52" s="161"/>
      <c r="E52" s="147"/>
      <c r="F52" s="147"/>
      <c r="G52" s="147"/>
      <c r="H52" s="147"/>
      <c r="I52" s="147"/>
      <c r="J52" s="147"/>
      <c r="K52" s="147"/>
      <c r="L52" s="147"/>
    </row>
    <row r="53" spans="1:12" ht="14.25" x14ac:dyDescent="0.2">
      <c r="A53" s="161"/>
      <c r="B53" s="184"/>
      <c r="C53" s="189"/>
      <c r="E53" s="147"/>
      <c r="F53" s="147"/>
      <c r="G53" s="147"/>
      <c r="H53" s="147"/>
      <c r="I53" s="147"/>
      <c r="J53" s="147"/>
      <c r="K53" s="147"/>
      <c r="L53" s="147"/>
    </row>
    <row r="54" spans="1:12" ht="14.25" x14ac:dyDescent="0.2">
      <c r="A54" s="161"/>
      <c r="B54" s="190"/>
      <c r="C54" s="161"/>
      <c r="E54" s="147"/>
      <c r="F54" s="147"/>
      <c r="G54" s="147"/>
      <c r="H54" s="147"/>
      <c r="I54" s="147"/>
      <c r="J54" s="147"/>
      <c r="K54" s="147"/>
      <c r="L54" s="147"/>
    </row>
    <row r="55" spans="1:12" ht="14.25" x14ac:dyDescent="0.2">
      <c r="A55" s="161"/>
      <c r="B55" s="184"/>
      <c r="C55" s="189"/>
      <c r="E55" s="147"/>
      <c r="F55" s="147"/>
      <c r="G55" s="147"/>
      <c r="H55" s="147"/>
      <c r="I55" s="147"/>
      <c r="J55" s="147"/>
      <c r="K55" s="147"/>
      <c r="L55" s="147"/>
    </row>
    <row r="56" spans="1:12" ht="16.5" x14ac:dyDescent="0.2">
      <c r="A56" s="187"/>
      <c r="B56" s="147"/>
      <c r="C56" s="147"/>
      <c r="E56" s="147"/>
      <c r="F56" s="147"/>
      <c r="G56" s="147"/>
      <c r="H56" s="147"/>
      <c r="I56" s="147"/>
      <c r="J56" s="147"/>
      <c r="K56" s="147"/>
      <c r="L56" s="147"/>
    </row>
    <row r="57" spans="1:12" x14ac:dyDescent="0.2">
      <c r="A57" s="147"/>
      <c r="B57" s="147"/>
      <c r="C57" s="147"/>
      <c r="E57" s="147"/>
      <c r="F57" s="147"/>
      <c r="G57" s="147"/>
      <c r="H57" s="147"/>
      <c r="I57" s="147"/>
      <c r="J57" s="147"/>
      <c r="K57" s="147"/>
      <c r="L57" s="147"/>
    </row>
    <row r="58" spans="1:12" x14ac:dyDescent="0.2">
      <c r="A58" s="147"/>
      <c r="B58" s="147"/>
      <c r="C58" s="147"/>
      <c r="E58" s="147"/>
      <c r="F58" s="147"/>
      <c r="G58" s="147"/>
      <c r="H58" s="147"/>
      <c r="I58" s="147"/>
      <c r="J58" s="147"/>
      <c r="K58" s="147"/>
      <c r="L58" s="147"/>
    </row>
    <row r="59" spans="1:12" x14ac:dyDescent="0.2">
      <c r="A59" s="191"/>
      <c r="B59" s="147"/>
      <c r="C59" s="147"/>
      <c r="E59" s="147"/>
      <c r="F59" s="147"/>
      <c r="G59" s="147"/>
      <c r="H59" s="147"/>
      <c r="I59" s="147"/>
      <c r="J59" s="147"/>
      <c r="K59" s="147"/>
      <c r="L59" s="147"/>
    </row>
    <row r="60" spans="1:12" x14ac:dyDescent="0.2">
      <c r="A60" s="147"/>
      <c r="B60" s="147"/>
      <c r="C60" s="147"/>
      <c r="E60" s="147"/>
    </row>
    <row r="61" spans="1:12" x14ac:dyDescent="0.2">
      <c r="A61" s="147"/>
      <c r="B61" s="147"/>
      <c r="C61" s="147"/>
      <c r="E61" s="147"/>
    </row>
    <row r="62" spans="1:12" x14ac:dyDescent="0.2">
      <c r="A62" s="147"/>
      <c r="B62" s="147"/>
      <c r="C62" s="147"/>
      <c r="E62" s="147"/>
    </row>
    <row r="63" spans="1:12" x14ac:dyDescent="0.2">
      <c r="A63" s="147"/>
      <c r="B63" s="147"/>
      <c r="C63" s="147"/>
      <c r="E63" s="147"/>
    </row>
    <row r="64" spans="1:12" x14ac:dyDescent="0.2">
      <c r="A64" s="147"/>
      <c r="B64" s="147"/>
      <c r="C64" s="147"/>
      <c r="E64" s="147"/>
    </row>
    <row r="65" spans="1:5" x14ac:dyDescent="0.2">
      <c r="A65" s="147"/>
      <c r="B65" s="147"/>
      <c r="C65" s="147"/>
      <c r="E65" s="147"/>
    </row>
    <row r="66" spans="1:5" x14ac:dyDescent="0.2">
      <c r="A66" s="147"/>
      <c r="B66" s="147"/>
      <c r="C66" s="147"/>
      <c r="E66" s="147"/>
    </row>
    <row r="67" spans="1:5" x14ac:dyDescent="0.2">
      <c r="A67" s="147"/>
      <c r="B67" s="147"/>
      <c r="C67" s="147"/>
      <c r="E67" s="147"/>
    </row>
    <row r="68" spans="1:5" x14ac:dyDescent="0.2">
      <c r="A68" s="147"/>
      <c r="B68" s="147"/>
      <c r="C68" s="147"/>
      <c r="E68" s="147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7" zoomScaleNormal="100" workbookViewId="0">
      <selection activeCell="D31" sqref="D31"/>
    </sheetView>
  </sheetViews>
  <sheetFormatPr defaultColWidth="9.140625"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0" t="s">
        <v>216</v>
      </c>
    </row>
    <row r="3" spans="1:3" x14ac:dyDescent="0.2">
      <c r="A3" s="283" t="s">
        <v>265</v>
      </c>
    </row>
    <row r="5" spans="1:3" x14ac:dyDescent="0.2">
      <c r="A5" s="283" t="s">
        <v>264</v>
      </c>
    </row>
    <row r="6" spans="1:3" ht="13.5" thickBot="1" x14ac:dyDescent="0.25"/>
    <row r="7" spans="1:3" ht="18" x14ac:dyDescent="0.25">
      <c r="B7" s="451" t="s">
        <v>206</v>
      </c>
      <c r="C7" s="452"/>
    </row>
    <row r="8" spans="1:3" ht="15" x14ac:dyDescent="0.25">
      <c r="A8" s="147"/>
      <c r="B8" s="146" t="s">
        <v>268</v>
      </c>
      <c r="C8" s="192"/>
    </row>
    <row r="9" spans="1:3" ht="15" x14ac:dyDescent="0.25">
      <c r="A9" s="147"/>
      <c r="B9" s="148" t="s">
        <v>110</v>
      </c>
      <c r="C9" s="149">
        <v>2100</v>
      </c>
    </row>
    <row r="10" spans="1:3" ht="15" x14ac:dyDescent="0.25">
      <c r="A10" s="147"/>
      <c r="B10" s="150" t="s">
        <v>111</v>
      </c>
      <c r="C10" s="149">
        <v>2031</v>
      </c>
    </row>
    <row r="11" spans="1:3" ht="14.25" x14ac:dyDescent="0.2">
      <c r="A11" s="147"/>
      <c r="B11" s="193" t="s">
        <v>112</v>
      </c>
      <c r="C11" s="194">
        <v>44</v>
      </c>
    </row>
    <row r="12" spans="1:3" ht="14.25" x14ac:dyDescent="0.2">
      <c r="A12" s="147"/>
      <c r="B12" s="193" t="s">
        <v>113</v>
      </c>
      <c r="C12" s="194">
        <v>1192</v>
      </c>
    </row>
    <row r="13" spans="1:3" ht="14.25" x14ac:dyDescent="0.2">
      <c r="A13" s="147"/>
      <c r="B13" s="193" t="s">
        <v>114</v>
      </c>
      <c r="C13" s="194">
        <v>372</v>
      </c>
    </row>
    <row r="14" spans="1:3" ht="14.25" x14ac:dyDescent="0.2">
      <c r="A14" s="147"/>
      <c r="B14" s="193" t="s">
        <v>115</v>
      </c>
      <c r="C14" s="194">
        <v>22</v>
      </c>
    </row>
    <row r="15" spans="1:3" ht="14.25" x14ac:dyDescent="0.2">
      <c r="A15" s="147"/>
      <c r="B15" s="193" t="s">
        <v>116</v>
      </c>
      <c r="C15" s="194">
        <v>350</v>
      </c>
    </row>
    <row r="16" spans="1:3" ht="14.25" x14ac:dyDescent="0.2">
      <c r="A16" s="147"/>
      <c r="B16" s="193" t="s">
        <v>117</v>
      </c>
      <c r="C16" s="194">
        <v>1</v>
      </c>
    </row>
    <row r="17" spans="1:5" ht="14.25" x14ac:dyDescent="0.2">
      <c r="A17" s="147"/>
      <c r="B17" s="193" t="s">
        <v>118</v>
      </c>
      <c r="C17" s="194">
        <v>30</v>
      </c>
    </row>
    <row r="18" spans="1:5" ht="14.25" x14ac:dyDescent="0.2">
      <c r="A18" s="147"/>
      <c r="B18" s="195" t="s">
        <v>119</v>
      </c>
      <c r="C18" s="196">
        <v>0</v>
      </c>
    </row>
    <row r="19" spans="1:5" ht="14.25" x14ac:dyDescent="0.2">
      <c r="A19" s="147"/>
      <c r="B19" s="289" t="s">
        <v>260</v>
      </c>
      <c r="C19" s="196">
        <v>0</v>
      </c>
    </row>
    <row r="20" spans="1:5" ht="15" x14ac:dyDescent="0.25">
      <c r="A20" s="147" t="s">
        <v>120</v>
      </c>
      <c r="B20" s="146" t="s">
        <v>121</v>
      </c>
      <c r="C20" s="192"/>
    </row>
    <row r="21" spans="1:5" ht="14.25" x14ac:dyDescent="0.2">
      <c r="A21" s="147"/>
      <c r="B21" s="197" t="s">
        <v>262</v>
      </c>
      <c r="C21" s="198">
        <v>4625</v>
      </c>
    </row>
    <row r="22" spans="1:5" ht="14.25" x14ac:dyDescent="0.2">
      <c r="A22" s="147"/>
      <c r="B22" s="193" t="s">
        <v>263</v>
      </c>
      <c r="C22" s="194">
        <v>4694</v>
      </c>
    </row>
    <row r="23" spans="1:5" ht="14.25" x14ac:dyDescent="0.2">
      <c r="B23" s="193" t="s">
        <v>261</v>
      </c>
      <c r="C23" s="282">
        <f>C9-C10</f>
        <v>69</v>
      </c>
    </row>
    <row r="24" spans="1:5" ht="14.25" x14ac:dyDescent="0.2">
      <c r="B24" s="199"/>
      <c r="C24" s="200"/>
    </row>
    <row r="25" spans="1:5" s="100" customFormat="1" ht="15" x14ac:dyDescent="0.25">
      <c r="B25" s="148" t="s">
        <v>123</v>
      </c>
      <c r="C25" s="201">
        <f>MEDIAN(C21,C22)</f>
        <v>4659.5</v>
      </c>
    </row>
    <row r="26" spans="1:5" ht="15" x14ac:dyDescent="0.25">
      <c r="B26" s="150" t="s">
        <v>258</v>
      </c>
      <c r="C26" s="287">
        <f>C12/C25</f>
        <v>0.25582144006867691</v>
      </c>
    </row>
    <row r="27" spans="1:5" ht="15" x14ac:dyDescent="0.25">
      <c r="B27" s="150" t="s">
        <v>259</v>
      </c>
      <c r="C27" s="287">
        <f>MEDIAN(C9,C10)/C25</f>
        <v>0.44328790642772831</v>
      </c>
      <c r="E27" s="257"/>
    </row>
    <row r="28" spans="1:5" s="100" customFormat="1" ht="15" x14ac:dyDescent="0.25">
      <c r="B28" s="150" t="s">
        <v>222</v>
      </c>
      <c r="C28" s="285">
        <f>12/C27</f>
        <v>27.070442992011618</v>
      </c>
    </row>
    <row r="29" spans="1:5" ht="15" x14ac:dyDescent="0.25">
      <c r="B29" s="150" t="s">
        <v>122</v>
      </c>
      <c r="C29" s="152">
        <v>360</v>
      </c>
    </row>
    <row r="30" spans="1:5" ht="15" x14ac:dyDescent="0.25">
      <c r="B30" s="150" t="s">
        <v>217</v>
      </c>
      <c r="C30" s="152">
        <v>10</v>
      </c>
    </row>
    <row r="31" spans="1:5" ht="15" x14ac:dyDescent="0.25">
      <c r="B31" s="148" t="s">
        <v>218</v>
      </c>
      <c r="C31" s="151">
        <v>30</v>
      </c>
    </row>
    <row r="32" spans="1:5" ht="15" x14ac:dyDescent="0.25">
      <c r="B32" s="148" t="s">
        <v>219</v>
      </c>
      <c r="C32" s="151">
        <v>30</v>
      </c>
    </row>
    <row r="33" spans="2:4" s="100" customFormat="1" ht="15" x14ac:dyDescent="0.25">
      <c r="B33" s="148" t="s">
        <v>125</v>
      </c>
      <c r="C33" s="151">
        <f>30+(3*TRUNC(1/C27))</f>
        <v>36</v>
      </c>
    </row>
    <row r="34" spans="2:4" s="100" customFormat="1" ht="15" x14ac:dyDescent="0.25">
      <c r="B34" s="150" t="s">
        <v>37</v>
      </c>
      <c r="C34" s="286">
        <v>0.08</v>
      </c>
    </row>
    <row r="35" spans="2:4" s="100" customFormat="1" ht="15.75" thickBot="1" x14ac:dyDescent="0.3">
      <c r="B35" s="153" t="s">
        <v>124</v>
      </c>
      <c r="C35" s="288">
        <v>0.4</v>
      </c>
      <c r="D35" s="100" t="s">
        <v>266</v>
      </c>
    </row>
  </sheetData>
  <mergeCells count="1">
    <mergeCell ref="B7:C7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K25" sqref="K25"/>
    </sheetView>
  </sheetViews>
  <sheetFormatPr defaultRowHeight="12.75" x14ac:dyDescent="0.2"/>
  <cols>
    <col min="2" max="2" width="72.28515625" customWidth="1"/>
    <col min="3" max="3" width="12.28515625" customWidth="1"/>
  </cols>
  <sheetData>
    <row r="1" spans="1:3" x14ac:dyDescent="0.2">
      <c r="A1" s="453" t="s">
        <v>303</v>
      </c>
      <c r="B1" s="454"/>
      <c r="C1" s="455"/>
    </row>
    <row r="2" spans="1:3" x14ac:dyDescent="0.2">
      <c r="A2" s="319" t="s">
        <v>126</v>
      </c>
      <c r="B2" s="320" t="s">
        <v>127</v>
      </c>
      <c r="C2" s="321" t="s">
        <v>128</v>
      </c>
    </row>
    <row r="3" spans="1:3" x14ac:dyDescent="0.2">
      <c r="A3" s="319" t="s">
        <v>129</v>
      </c>
      <c r="B3" s="320" t="s">
        <v>36</v>
      </c>
      <c r="C3" s="322">
        <v>0.2</v>
      </c>
    </row>
    <row r="4" spans="1:3" x14ac:dyDescent="0.2">
      <c r="A4" s="319" t="s">
        <v>130</v>
      </c>
      <c r="B4" s="320" t="s">
        <v>131</v>
      </c>
      <c r="C4" s="322">
        <v>1.4999999999999999E-2</v>
      </c>
    </row>
    <row r="5" spans="1:3" x14ac:dyDescent="0.2">
      <c r="A5" s="319" t="s">
        <v>132</v>
      </c>
      <c r="B5" s="320" t="s">
        <v>133</v>
      </c>
      <c r="C5" s="322">
        <v>0.01</v>
      </c>
    </row>
    <row r="6" spans="1:3" x14ac:dyDescent="0.2">
      <c r="A6" s="319" t="s">
        <v>134</v>
      </c>
      <c r="B6" s="320" t="s">
        <v>135</v>
      </c>
      <c r="C6" s="322">
        <v>2E-3</v>
      </c>
    </row>
    <row r="7" spans="1:3" x14ac:dyDescent="0.2">
      <c r="A7" s="319" t="s">
        <v>136</v>
      </c>
      <c r="B7" s="320" t="s">
        <v>137</v>
      </c>
      <c r="C7" s="322">
        <v>6.0000000000000001E-3</v>
      </c>
    </row>
    <row r="8" spans="1:3" x14ac:dyDescent="0.2">
      <c r="A8" s="319" t="s">
        <v>138</v>
      </c>
      <c r="B8" s="320" t="s">
        <v>139</v>
      </c>
      <c r="C8" s="322">
        <v>2.5000000000000001E-2</v>
      </c>
    </row>
    <row r="9" spans="1:3" x14ac:dyDescent="0.2">
      <c r="A9" s="319" t="s">
        <v>140</v>
      </c>
      <c r="B9" s="320" t="s">
        <v>141</v>
      </c>
      <c r="C9" s="322">
        <v>0.03</v>
      </c>
    </row>
    <row r="10" spans="1:3" x14ac:dyDescent="0.2">
      <c r="A10" s="319" t="s">
        <v>142</v>
      </c>
      <c r="B10" s="320" t="s">
        <v>37</v>
      </c>
      <c r="C10" s="322">
        <v>0.08</v>
      </c>
    </row>
    <row r="11" spans="1:3" x14ac:dyDescent="0.2">
      <c r="A11" s="319" t="s">
        <v>143</v>
      </c>
      <c r="B11" s="323" t="s">
        <v>144</v>
      </c>
      <c r="C11" s="324">
        <f>SUM(C3:C10)</f>
        <v>0.36800000000000005</v>
      </c>
    </row>
    <row r="12" spans="1:3" x14ac:dyDescent="0.2">
      <c r="A12" s="325"/>
      <c r="B12" s="326"/>
      <c r="C12" s="327"/>
    </row>
    <row r="13" spans="1:3" x14ac:dyDescent="0.2">
      <c r="A13" s="319" t="s">
        <v>145</v>
      </c>
      <c r="B13" s="328" t="s">
        <v>146</v>
      </c>
      <c r="C13" s="322">
        <v>6.1899999999999997E-2</v>
      </c>
    </row>
    <row r="14" spans="1:3" x14ac:dyDescent="0.2">
      <c r="A14" s="319" t="s">
        <v>147</v>
      </c>
      <c r="B14" s="328" t="s">
        <v>148</v>
      </c>
      <c r="C14" s="322">
        <v>8.3299999999999999E-2</v>
      </c>
    </row>
    <row r="15" spans="1:3" x14ac:dyDescent="0.2">
      <c r="A15" s="319" t="s">
        <v>198</v>
      </c>
      <c r="B15" s="328" t="s">
        <v>150</v>
      </c>
      <c r="C15" s="322">
        <v>5.9999999999999995E-4</v>
      </c>
    </row>
    <row r="16" spans="1:3" x14ac:dyDescent="0.2">
      <c r="A16" s="319" t="s">
        <v>149</v>
      </c>
      <c r="B16" s="328" t="s">
        <v>152</v>
      </c>
      <c r="C16" s="322">
        <v>8.2000000000000007E-3</v>
      </c>
    </row>
    <row r="17" spans="1:3" x14ac:dyDescent="0.2">
      <c r="A17" s="319" t="s">
        <v>151</v>
      </c>
      <c r="B17" s="328" t="s">
        <v>154</v>
      </c>
      <c r="C17" s="322">
        <v>3.0999999999999999E-3</v>
      </c>
    </row>
    <row r="18" spans="1:3" x14ac:dyDescent="0.2">
      <c r="A18" s="319" t="s">
        <v>153</v>
      </c>
      <c r="B18" s="328" t="s">
        <v>155</v>
      </c>
      <c r="C18" s="322">
        <v>1.66E-2</v>
      </c>
    </row>
    <row r="19" spans="1:3" x14ac:dyDescent="0.2">
      <c r="A19" s="319" t="s">
        <v>156</v>
      </c>
      <c r="B19" s="323" t="s">
        <v>157</v>
      </c>
      <c r="C19" s="324">
        <f>SUM(C13:C18)</f>
        <v>0.17369999999999999</v>
      </c>
    </row>
    <row r="20" spans="1:3" x14ac:dyDescent="0.2">
      <c r="A20" s="325"/>
      <c r="B20" s="326"/>
      <c r="C20" s="327"/>
    </row>
    <row r="21" spans="1:3" x14ac:dyDescent="0.2">
      <c r="A21" s="319" t="s">
        <v>158</v>
      </c>
      <c r="B21" s="320" t="s">
        <v>159</v>
      </c>
      <c r="C21" s="322">
        <v>2.5600000000000001E-2</v>
      </c>
    </row>
    <row r="22" spans="1:3" x14ac:dyDescent="0.2">
      <c r="A22" s="319" t="s">
        <v>197</v>
      </c>
      <c r="B22" s="320" t="s">
        <v>161</v>
      </c>
      <c r="C22" s="322">
        <v>4.9200000000000001E-2</v>
      </c>
    </row>
    <row r="23" spans="1:3" x14ac:dyDescent="0.2">
      <c r="A23" s="319" t="s">
        <v>160</v>
      </c>
      <c r="B23" s="320" t="s">
        <v>163</v>
      </c>
      <c r="C23" s="322">
        <v>1.2999999999999999E-3</v>
      </c>
    </row>
    <row r="24" spans="1:3" x14ac:dyDescent="0.2">
      <c r="A24" s="319" t="s">
        <v>162</v>
      </c>
      <c r="B24" s="320" t="s">
        <v>165</v>
      </c>
      <c r="C24" s="322">
        <v>2.0500000000000001E-2</v>
      </c>
    </row>
    <row r="25" spans="1:3" x14ac:dyDescent="0.2">
      <c r="A25" s="319" t="s">
        <v>164</v>
      </c>
      <c r="B25" s="320" t="s">
        <v>166</v>
      </c>
      <c r="C25" s="322">
        <v>1.8E-3</v>
      </c>
    </row>
    <row r="26" spans="1:3" x14ac:dyDescent="0.2">
      <c r="A26" s="319" t="s">
        <v>167</v>
      </c>
      <c r="B26" s="323" t="s">
        <v>168</v>
      </c>
      <c r="C26" s="324">
        <f>SUM(C21:C25)</f>
        <v>9.8400000000000001E-2</v>
      </c>
    </row>
    <row r="27" spans="1:3" x14ac:dyDescent="0.2">
      <c r="A27" s="325"/>
      <c r="B27" s="326"/>
      <c r="C27" s="327"/>
    </row>
    <row r="28" spans="1:3" x14ac:dyDescent="0.2">
      <c r="A28" s="319" t="s">
        <v>169</v>
      </c>
      <c r="B28" s="320" t="s">
        <v>170</v>
      </c>
      <c r="C28" s="322">
        <v>6.3899999999999998E-2</v>
      </c>
    </row>
    <row r="29" spans="1:3" x14ac:dyDescent="0.2">
      <c r="A29" s="319" t="s">
        <v>171</v>
      </c>
      <c r="B29" s="329" t="s">
        <v>253</v>
      </c>
      <c r="C29" s="322">
        <f>ROUND((C21*C10),4)</f>
        <v>2E-3</v>
      </c>
    </row>
    <row r="30" spans="1:3" x14ac:dyDescent="0.2">
      <c r="A30" s="319" t="s">
        <v>172</v>
      </c>
      <c r="B30" s="323" t="s">
        <v>173</v>
      </c>
      <c r="C30" s="324">
        <f>SUM(C28:C29)</f>
        <v>6.59E-2</v>
      </c>
    </row>
    <row r="31" spans="1:3" ht="13.5" thickBot="1" x14ac:dyDescent="0.25">
      <c r="A31" s="332"/>
      <c r="B31" s="330" t="s">
        <v>174</v>
      </c>
      <c r="C31" s="331">
        <f>C30+C26+C19+C11</f>
        <v>0.70599999999999996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showGridLines="0" zoomScaleNormal="100" workbookViewId="0">
      <selection activeCell="D15" sqref="D15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13" bestFit="1" customWidth="1"/>
    <col min="6" max="6" width="9.7109375" bestFit="1" customWidth="1"/>
  </cols>
  <sheetData>
    <row r="1" spans="1:8" x14ac:dyDescent="0.2">
      <c r="A1" s="100" t="s">
        <v>269</v>
      </c>
    </row>
    <row r="2" spans="1:8" s="136" customFormat="1" ht="14.25" x14ac:dyDescent="0.2">
      <c r="A2" s="11" t="s">
        <v>187</v>
      </c>
      <c r="B2" s="134"/>
      <c r="C2" s="134"/>
      <c r="E2" s="137"/>
    </row>
    <row r="3" spans="1:8" s="136" customFormat="1" ht="14.25" x14ac:dyDescent="0.2">
      <c r="A3" s="130" t="s">
        <v>223</v>
      </c>
      <c r="B3" s="134"/>
      <c r="C3" s="134"/>
      <c r="E3" s="137"/>
    </row>
    <row r="4" spans="1:8" s="136" customFormat="1" ht="14.25" x14ac:dyDescent="0.2">
      <c r="A4" s="9" t="s">
        <v>188</v>
      </c>
      <c r="B4" s="134"/>
      <c r="C4" s="134"/>
      <c r="E4" s="137"/>
    </row>
    <row r="5" spans="1:8" s="136" customFormat="1" ht="14.25" x14ac:dyDescent="0.2">
      <c r="A5" s="9"/>
      <c r="B5" s="134"/>
      <c r="C5" s="134"/>
      <c r="E5" s="137"/>
    </row>
    <row r="6" spans="1:8" s="4" customFormat="1" ht="15.6" customHeight="1" x14ac:dyDescent="0.2">
      <c r="A6" s="281" t="s">
        <v>267</v>
      </c>
      <c r="B6" s="129"/>
      <c r="C6" s="129"/>
      <c r="D6" s="129"/>
      <c r="E6" s="129"/>
      <c r="F6" s="129"/>
      <c r="G6" s="6"/>
    </row>
    <row r="7" spans="1:8" s="4" customFormat="1" ht="16.5" customHeight="1" x14ac:dyDescent="0.2">
      <c r="A7" s="281" t="s">
        <v>254</v>
      </c>
      <c r="B7" s="5"/>
      <c r="C7" s="5"/>
      <c r="D7" s="6"/>
      <c r="E7" s="6"/>
      <c r="F7" s="6"/>
      <c r="G7" s="6"/>
    </row>
    <row r="8" spans="1:8" s="136" customFormat="1" ht="15" thickBot="1" x14ac:dyDescent="0.25">
      <c r="B8" s="134"/>
      <c r="C8" s="134"/>
      <c r="E8" s="137"/>
    </row>
    <row r="9" spans="1:8" ht="15.75" x14ac:dyDescent="0.2">
      <c r="A9" s="461" t="s">
        <v>207</v>
      </c>
      <c r="B9" s="462"/>
      <c r="C9" s="462"/>
      <c r="D9" s="462"/>
      <c r="E9" s="462"/>
      <c r="F9" s="463"/>
    </row>
    <row r="10" spans="1:8" ht="16.5" thickBot="1" x14ac:dyDescent="0.25">
      <c r="A10" s="242"/>
      <c r="B10" s="243"/>
      <c r="C10" s="243"/>
      <c r="D10" s="243"/>
      <c r="E10" s="243"/>
      <c r="F10" s="244"/>
    </row>
    <row r="11" spans="1:8" ht="15" x14ac:dyDescent="0.25">
      <c r="A11" s="202"/>
      <c r="B11" s="135"/>
      <c r="C11" s="135"/>
      <c r="D11" s="458" t="s">
        <v>220</v>
      </c>
      <c r="E11" s="459"/>
      <c r="F11" s="460"/>
      <c r="G11" s="136"/>
      <c r="H11" s="136"/>
    </row>
    <row r="12" spans="1:8" ht="15" thickBot="1" x14ac:dyDescent="0.25">
      <c r="A12" s="199"/>
      <c r="B12" s="203"/>
      <c r="C12" s="203"/>
      <c r="D12" s="204" t="s">
        <v>175</v>
      </c>
      <c r="E12" s="205" t="s">
        <v>176</v>
      </c>
      <c r="F12" s="206" t="s">
        <v>177</v>
      </c>
      <c r="G12" s="136"/>
      <c r="H12" s="136"/>
    </row>
    <row r="13" spans="1:8" ht="14.25" x14ac:dyDescent="0.2">
      <c r="A13" s="207" t="s">
        <v>72</v>
      </c>
      <c r="B13" s="208" t="s">
        <v>73</v>
      </c>
      <c r="C13" s="209">
        <v>0.05</v>
      </c>
      <c r="D13" s="229">
        <v>2.9700000000000001E-2</v>
      </c>
      <c r="E13" s="230">
        <v>5.0799999999999998E-2</v>
      </c>
      <c r="F13" s="231">
        <v>6.2700000000000006E-2</v>
      </c>
      <c r="G13" s="136"/>
      <c r="H13" s="136"/>
    </row>
    <row r="14" spans="1:8" ht="14.25" x14ac:dyDescent="0.2">
      <c r="A14" s="211" t="s">
        <v>74</v>
      </c>
      <c r="B14" s="212" t="s">
        <v>75</v>
      </c>
      <c r="C14" s="213">
        <v>1.2E-2</v>
      </c>
      <c r="D14" s="229">
        <f>0.3%+0.56%</f>
        <v>8.6E-3</v>
      </c>
      <c r="E14" s="230">
        <f>0.48%+0.85%</f>
        <v>1.3299999999999999E-2</v>
      </c>
      <c r="F14" s="231">
        <f>0.82%+0.89%</f>
        <v>1.7099999999999997E-2</v>
      </c>
      <c r="G14" s="136"/>
      <c r="H14" s="136"/>
    </row>
    <row r="15" spans="1:8" ht="14.25" x14ac:dyDescent="0.2">
      <c r="A15" s="211" t="s">
        <v>76</v>
      </c>
      <c r="B15" s="212" t="s">
        <v>77</v>
      </c>
      <c r="C15" s="213">
        <v>0.1</v>
      </c>
      <c r="D15" s="229">
        <v>7.7799999999999994E-2</v>
      </c>
      <c r="E15" s="230">
        <v>0.1085</v>
      </c>
      <c r="F15" s="231">
        <v>0.13550000000000001</v>
      </c>
      <c r="G15" s="136"/>
      <c r="H15" s="136"/>
    </row>
    <row r="16" spans="1:8" ht="14.25" x14ac:dyDescent="0.2">
      <c r="A16" s="211" t="s">
        <v>78</v>
      </c>
      <c r="B16" s="212" t="s">
        <v>79</v>
      </c>
      <c r="C16" s="214">
        <f>(1+E16)^(E17/252)-1</f>
        <v>0</v>
      </c>
      <c r="D16" s="229" t="s">
        <v>251</v>
      </c>
      <c r="E16" s="215">
        <v>0.13750000000000001</v>
      </c>
      <c r="F16" s="210"/>
      <c r="G16" s="136"/>
      <c r="H16" s="136"/>
    </row>
    <row r="17" spans="1:8" ht="14.25" x14ac:dyDescent="0.2">
      <c r="A17" s="211" t="s">
        <v>80</v>
      </c>
      <c r="B17" s="456" t="s">
        <v>81</v>
      </c>
      <c r="C17" s="213">
        <v>0.02</v>
      </c>
      <c r="D17" s="279"/>
      <c r="E17" s="360"/>
      <c r="F17" s="216"/>
      <c r="G17" s="136"/>
      <c r="H17" s="136"/>
    </row>
    <row r="18" spans="1:8" ht="15" thickBot="1" x14ac:dyDescent="0.25">
      <c r="A18" s="217" t="s">
        <v>82</v>
      </c>
      <c r="B18" s="457"/>
      <c r="C18" s="218">
        <v>9.2600000000000002E-2</v>
      </c>
      <c r="D18" s="193"/>
      <c r="E18" s="219"/>
      <c r="F18" s="216"/>
      <c r="G18" s="136"/>
      <c r="H18" s="136"/>
    </row>
    <row r="19" spans="1:8" ht="14.25" x14ac:dyDescent="0.2">
      <c r="A19" s="220" t="s">
        <v>83</v>
      </c>
      <c r="B19" s="221"/>
      <c r="C19" s="222"/>
      <c r="D19" s="193"/>
      <c r="E19" s="219"/>
      <c r="F19" s="216"/>
      <c r="G19" s="136"/>
      <c r="H19" s="136"/>
    </row>
    <row r="20" spans="1:8" ht="15" thickBot="1" x14ac:dyDescent="0.25">
      <c r="A20" s="223" t="s">
        <v>84</v>
      </c>
      <c r="B20" s="224"/>
      <c r="C20" s="225"/>
      <c r="D20" s="193"/>
      <c r="E20" s="219"/>
      <c r="F20" s="216"/>
      <c r="G20" s="136"/>
      <c r="H20" s="136"/>
    </row>
    <row r="21" spans="1:8" ht="15.75" thickBot="1" x14ac:dyDescent="0.25">
      <c r="A21" s="226" t="s">
        <v>85</v>
      </c>
      <c r="B21" s="227"/>
      <c r="C21" s="228">
        <f>ROUND((((1+C13+C14)*(1+C15)*(1+C16))/(1-(C17+C18))-1),4)</f>
        <v>0.31640000000000001</v>
      </c>
      <c r="D21" s="232">
        <v>0.21429999999999999</v>
      </c>
      <c r="E21" s="233">
        <v>0.2717</v>
      </c>
      <c r="F21" s="234">
        <v>0.3362</v>
      </c>
      <c r="G21" s="136"/>
      <c r="H21" s="136"/>
    </row>
    <row r="22" spans="1:8" ht="14.25" x14ac:dyDescent="0.2">
      <c r="A22" s="136"/>
      <c r="B22" s="136"/>
      <c r="C22" s="136"/>
      <c r="D22" s="136"/>
      <c r="E22" s="137"/>
      <c r="F22" s="136"/>
      <c r="G22" s="136"/>
      <c r="H22" s="136"/>
    </row>
    <row r="23" spans="1:8" ht="14.25" x14ac:dyDescent="0.2">
      <c r="A23" s="136"/>
      <c r="B23" s="136"/>
      <c r="C23" s="136"/>
      <c r="D23" s="136"/>
      <c r="E23" s="137"/>
      <c r="F23" s="136"/>
      <c r="G23" s="136"/>
      <c r="H23" s="136"/>
    </row>
    <row r="24" spans="1:8" ht="14.25" x14ac:dyDescent="0.2">
      <c r="A24" s="136"/>
      <c r="B24" s="136"/>
      <c r="C24" s="136"/>
      <c r="D24" s="136"/>
      <c r="E24" s="137"/>
      <c r="F24" s="136"/>
      <c r="G24" s="136"/>
      <c r="H24" s="136"/>
    </row>
    <row r="25" spans="1:8" ht="14.25" x14ac:dyDescent="0.2">
      <c r="A25" s="136"/>
      <c r="B25" s="136"/>
      <c r="C25" s="136"/>
      <c r="D25" s="136"/>
      <c r="E25" s="137"/>
      <c r="F25" s="136"/>
      <c r="G25" s="136"/>
      <c r="H25" s="136"/>
    </row>
  </sheetData>
  <mergeCells count="3">
    <mergeCell ref="B17:B18"/>
    <mergeCell ref="D11:F11"/>
    <mergeCell ref="A9:F9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Normal="100" workbookViewId="0">
      <selection activeCell="D38" sqref="D38"/>
    </sheetView>
  </sheetViews>
  <sheetFormatPr defaultColWidth="9.140625" defaultRowHeight="12.75" x14ac:dyDescent="0.2"/>
  <cols>
    <col min="1" max="1" width="8.5703125" style="333" customWidth="1"/>
    <col min="2" max="2" width="67.140625" style="333" customWidth="1"/>
    <col min="3" max="3" width="13.7109375" style="333" customWidth="1"/>
    <col min="4" max="4" width="10.28515625" style="333" customWidth="1"/>
    <col min="5" max="5" width="13.7109375" style="333" customWidth="1"/>
    <col min="6" max="16384" width="9.140625" style="333"/>
  </cols>
  <sheetData>
    <row r="1" spans="1:3" x14ac:dyDescent="0.2">
      <c r="A1" s="334" t="s">
        <v>216</v>
      </c>
    </row>
    <row r="3" spans="1:3" x14ac:dyDescent="0.2">
      <c r="A3" s="356" t="s">
        <v>265</v>
      </c>
    </row>
    <row r="5" spans="1:3" x14ac:dyDescent="0.2">
      <c r="A5" s="356" t="s">
        <v>264</v>
      </c>
    </row>
    <row r="6" spans="1:3" ht="13.5" thickBot="1" x14ac:dyDescent="0.25"/>
    <row r="7" spans="1:3" ht="18" x14ac:dyDescent="0.25">
      <c r="B7" s="464" t="s">
        <v>206</v>
      </c>
      <c r="C7" s="465"/>
    </row>
    <row r="8" spans="1:3" ht="15" x14ac:dyDescent="0.25">
      <c r="A8" s="347"/>
      <c r="B8" s="351" t="s">
        <v>268</v>
      </c>
      <c r="C8" s="350"/>
    </row>
    <row r="9" spans="1:3" ht="15" x14ac:dyDescent="0.25">
      <c r="A9" s="347"/>
      <c r="B9" s="338" t="s">
        <v>110</v>
      </c>
      <c r="C9" s="355">
        <v>2100</v>
      </c>
    </row>
    <row r="10" spans="1:3" ht="15" x14ac:dyDescent="0.25">
      <c r="A10" s="347"/>
      <c r="B10" s="336" t="s">
        <v>111</v>
      </c>
      <c r="C10" s="355">
        <v>2031</v>
      </c>
    </row>
    <row r="11" spans="1:3" ht="14.25" x14ac:dyDescent="0.2">
      <c r="A11" s="347"/>
      <c r="B11" s="345" t="s">
        <v>112</v>
      </c>
      <c r="C11" s="346">
        <v>44</v>
      </c>
    </row>
    <row r="12" spans="1:3" ht="14.25" x14ac:dyDescent="0.2">
      <c r="A12" s="347"/>
      <c r="B12" s="345" t="s">
        <v>113</v>
      </c>
      <c r="C12" s="346">
        <v>1192</v>
      </c>
    </row>
    <row r="13" spans="1:3" ht="14.25" x14ac:dyDescent="0.2">
      <c r="A13" s="347"/>
      <c r="B13" s="345" t="s">
        <v>114</v>
      </c>
      <c r="C13" s="346">
        <v>372</v>
      </c>
    </row>
    <row r="14" spans="1:3" ht="14.25" x14ac:dyDescent="0.2">
      <c r="A14" s="347"/>
      <c r="B14" s="345" t="s">
        <v>115</v>
      </c>
      <c r="C14" s="346">
        <v>22</v>
      </c>
    </row>
    <row r="15" spans="1:3" ht="14.25" x14ac:dyDescent="0.2">
      <c r="A15" s="347"/>
      <c r="B15" s="345" t="s">
        <v>116</v>
      </c>
      <c r="C15" s="346">
        <v>350</v>
      </c>
    </row>
    <row r="16" spans="1:3" ht="14.25" x14ac:dyDescent="0.2">
      <c r="A16" s="347"/>
      <c r="B16" s="345" t="s">
        <v>117</v>
      </c>
      <c r="C16" s="346">
        <v>1</v>
      </c>
    </row>
    <row r="17" spans="1:3" ht="14.25" x14ac:dyDescent="0.2">
      <c r="A17" s="347"/>
      <c r="B17" s="345" t="s">
        <v>118</v>
      </c>
      <c r="C17" s="346">
        <v>30</v>
      </c>
    </row>
    <row r="18" spans="1:3" ht="14.25" x14ac:dyDescent="0.2">
      <c r="A18" s="347"/>
      <c r="B18" s="354" t="s">
        <v>119</v>
      </c>
      <c r="C18" s="352">
        <v>0</v>
      </c>
    </row>
    <row r="19" spans="1:3" ht="14.25" x14ac:dyDescent="0.2">
      <c r="A19" s="347"/>
      <c r="B19" s="353" t="s">
        <v>260</v>
      </c>
      <c r="C19" s="352">
        <v>0</v>
      </c>
    </row>
    <row r="20" spans="1:3" ht="15" x14ac:dyDescent="0.25">
      <c r="A20" s="347" t="s">
        <v>120</v>
      </c>
      <c r="B20" s="351" t="s">
        <v>121</v>
      </c>
      <c r="C20" s="350"/>
    </row>
    <row r="21" spans="1:3" ht="14.25" x14ac:dyDescent="0.2">
      <c r="A21" s="347"/>
      <c r="B21" s="349" t="s">
        <v>262</v>
      </c>
      <c r="C21" s="348">
        <v>4625</v>
      </c>
    </row>
    <row r="22" spans="1:3" ht="14.25" x14ac:dyDescent="0.2">
      <c r="A22" s="347"/>
      <c r="B22" s="345" t="s">
        <v>263</v>
      </c>
      <c r="C22" s="346">
        <v>4694</v>
      </c>
    </row>
    <row r="23" spans="1:3" ht="14.25" x14ac:dyDescent="0.2">
      <c r="B23" s="345" t="s">
        <v>261</v>
      </c>
      <c r="C23" s="344">
        <f>C9-C10</f>
        <v>69</v>
      </c>
    </row>
    <row r="24" spans="1:3" ht="14.25" x14ac:dyDescent="0.2">
      <c r="B24" s="343"/>
      <c r="C24" s="342"/>
    </row>
    <row r="25" spans="1:3" s="334" customFormat="1" ht="15" x14ac:dyDescent="0.25">
      <c r="B25" s="338" t="s">
        <v>123</v>
      </c>
      <c r="C25" s="341">
        <f>MEDIAN(C21,C22)</f>
        <v>4659.5</v>
      </c>
    </row>
    <row r="26" spans="1:3" ht="15" x14ac:dyDescent="0.25">
      <c r="B26" s="336" t="s">
        <v>258</v>
      </c>
      <c r="C26" s="287">
        <f>C12/C25</f>
        <v>0.25582144006867691</v>
      </c>
    </row>
    <row r="27" spans="1:3" ht="15" x14ac:dyDescent="0.25">
      <c r="B27" s="336" t="s">
        <v>259</v>
      </c>
      <c r="C27" s="287">
        <f>MEDIAN(C9,C10)/C25</f>
        <v>0.44328790642772831</v>
      </c>
    </row>
    <row r="28" spans="1:3" s="334" customFormat="1" ht="15" x14ac:dyDescent="0.25">
      <c r="B28" s="336" t="s">
        <v>222</v>
      </c>
      <c r="C28" s="340">
        <f>12/C27</f>
        <v>27.070442992011618</v>
      </c>
    </row>
    <row r="29" spans="1:3" ht="15" x14ac:dyDescent="0.25">
      <c r="B29" s="336" t="s">
        <v>122</v>
      </c>
      <c r="C29" s="339">
        <v>360</v>
      </c>
    </row>
    <row r="30" spans="1:3" ht="15" x14ac:dyDescent="0.25">
      <c r="B30" s="336" t="s">
        <v>217</v>
      </c>
      <c r="C30" s="339">
        <v>10</v>
      </c>
    </row>
    <row r="31" spans="1:3" ht="15" x14ac:dyDescent="0.25">
      <c r="B31" s="338" t="s">
        <v>218</v>
      </c>
      <c r="C31" s="337">
        <v>30</v>
      </c>
    </row>
    <row r="32" spans="1:3" ht="15" x14ac:dyDescent="0.25">
      <c r="B32" s="338" t="s">
        <v>219</v>
      </c>
      <c r="C32" s="337">
        <v>30</v>
      </c>
    </row>
    <row r="33" spans="2:4" s="334" customFormat="1" ht="15" x14ac:dyDescent="0.25">
      <c r="B33" s="338" t="s">
        <v>125</v>
      </c>
      <c r="C33" s="337">
        <f>30+(3*TRUNC(1/C27))</f>
        <v>36</v>
      </c>
    </row>
    <row r="34" spans="2:4" s="334" customFormat="1" ht="15" x14ac:dyDescent="0.25">
      <c r="B34" s="336" t="s">
        <v>37</v>
      </c>
      <c r="C34" s="286">
        <v>0.08</v>
      </c>
    </row>
    <row r="35" spans="2:4" s="334" customFormat="1" ht="15.75" thickBot="1" x14ac:dyDescent="0.3">
      <c r="B35" s="335" t="s">
        <v>124</v>
      </c>
      <c r="C35" s="288">
        <v>0.4</v>
      </c>
      <c r="D35" s="334" t="s">
        <v>266</v>
      </c>
    </row>
  </sheetData>
  <mergeCells count="1">
    <mergeCell ref="B7:C7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5</vt:i4>
      </vt:variant>
    </vt:vector>
  </HeadingPairs>
  <TitlesOfParts>
    <vt:vector size="16" baseType="lpstr">
      <vt:lpstr>0. Memorial de Cálculo </vt:lpstr>
      <vt:lpstr>1. Programação</vt:lpstr>
      <vt:lpstr>2. Dimensionamento</vt:lpstr>
      <vt:lpstr>3. Coleta Domiciliar</vt:lpstr>
      <vt:lpstr>2.Encargos Sociais</vt:lpstr>
      <vt:lpstr>3.CAGED</vt:lpstr>
      <vt:lpstr>4.Encargos Sociais</vt:lpstr>
      <vt:lpstr>5.BDI</vt:lpstr>
      <vt:lpstr>6.CAGED </vt:lpstr>
      <vt:lpstr>8.Remuneração de capital</vt:lpstr>
      <vt:lpstr>7. Depreciação</vt:lpstr>
      <vt:lpstr>AbaDeprec</vt:lpstr>
      <vt:lpstr>'8.Remuneração de capital'!AbaRemun</vt:lpstr>
      <vt:lpstr>'2.Encargos Sociais'!Area_de_impressao</vt:lpstr>
      <vt:lpstr>'3. Coleta Domiciliar'!Area_de_impressao</vt:lpstr>
      <vt:lpstr>'3. Coleta Domiciliar'!Titulos_de_impressao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camila.spitzer</cp:lastModifiedBy>
  <cp:lastPrinted>2023-05-22T14:21:19Z</cp:lastPrinted>
  <dcterms:created xsi:type="dcterms:W3CDTF">2000-12-13T10:02:50Z</dcterms:created>
  <dcterms:modified xsi:type="dcterms:W3CDTF">2023-05-22T19:25:31Z</dcterms:modified>
</cp:coreProperties>
</file>